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ysal\Desktop\FinModelHob\Templates\Management Accounting in Excel\Liquidity &amp; Solvency\"/>
    </mc:Choice>
  </mc:AlternateContent>
  <bookViews>
    <workbookView xWindow="0" yWindow="0" windowWidth="23040" windowHeight="9264"/>
  </bookViews>
  <sheets>
    <sheet name="Instructions" sheetId="6" r:id="rId1"/>
    <sheet name="Trial Balance Previous Year" sheetId="2" r:id="rId2"/>
    <sheet name="Trial Balance Current year" sheetId="4" r:id="rId3"/>
    <sheet name="Liquidity &amp; Solvency Ratios" sheetId="1" r:id="rId4"/>
  </sheets>
  <definedNames>
    <definedName name="Net_Working_Capital___Current_Assets___Current_Liability" comment="tttt">'Liquidity &amp; Solvency Ratios'!$B$64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4" i="1" l="1"/>
  <c r="F11" i="4"/>
  <c r="C98" i="1" l="1"/>
  <c r="J98" i="1"/>
  <c r="D98" i="1"/>
  <c r="L98" i="1" l="1"/>
  <c r="C87" i="1"/>
  <c r="C90" i="1"/>
  <c r="C93" i="1"/>
  <c r="L90" i="1"/>
  <c r="J90" i="1"/>
  <c r="L87" i="1"/>
  <c r="J87" i="1"/>
  <c r="L84" i="1"/>
  <c r="J84" i="1"/>
  <c r="L74" i="1"/>
  <c r="J74" i="1"/>
  <c r="L71" i="1"/>
  <c r="J71" i="1"/>
  <c r="L68" i="1"/>
  <c r="J68" i="1"/>
  <c r="L66" i="1"/>
  <c r="J66" i="1"/>
  <c r="D90" i="1"/>
  <c r="D87" i="1"/>
  <c r="D84" i="1"/>
  <c r="C76" i="1"/>
  <c r="D71" i="1"/>
  <c r="C71" i="1"/>
  <c r="D68" i="1"/>
  <c r="C68" i="1"/>
  <c r="L30" i="1" l="1"/>
  <c r="L37" i="1"/>
  <c r="J30" i="1"/>
  <c r="J37" i="1"/>
  <c r="F3" i="4"/>
  <c r="F18" i="4"/>
  <c r="E4" i="4"/>
  <c r="E28" i="4"/>
  <c r="F7" i="4"/>
  <c r="E5" i="4"/>
  <c r="E3" i="4"/>
  <c r="F27" i="4"/>
  <c r="E7" i="4"/>
  <c r="E13" i="4"/>
  <c r="D56" i="1"/>
  <c r="C56" i="1"/>
  <c r="D52" i="1"/>
  <c r="G31" i="4"/>
  <c r="H11" i="2"/>
  <c r="C16" i="1"/>
  <c r="C52" i="1"/>
  <c r="F52" i="1" s="1"/>
  <c r="E29" i="4"/>
  <c r="G28" i="4"/>
  <c r="D47" i="1" s="1"/>
  <c r="F13" i="4"/>
  <c r="H13" i="4" s="1"/>
  <c r="D23" i="1" s="1"/>
  <c r="D55" i="1"/>
  <c r="D54" i="1"/>
  <c r="H11" i="4"/>
  <c r="D16" i="1" s="1"/>
  <c r="L16" i="1" s="1"/>
  <c r="D38" i="1"/>
  <c r="D32" i="1"/>
  <c r="J32" i="1" s="1"/>
  <c r="D26" i="1"/>
  <c r="D27" i="1"/>
  <c r="D15" i="1"/>
  <c r="D14" i="1"/>
  <c r="E10" i="2"/>
  <c r="H24" i="4"/>
  <c r="D39" i="1" s="1"/>
  <c r="H25" i="4"/>
  <c r="D40" i="1" s="1"/>
  <c r="H20" i="4"/>
  <c r="H21" i="4"/>
  <c r="D33" i="1" s="1"/>
  <c r="G10" i="4"/>
  <c r="G12" i="4"/>
  <c r="G6" i="4"/>
  <c r="D9" i="1" s="1"/>
  <c r="J9" i="1" s="1"/>
  <c r="G8" i="4"/>
  <c r="D11" i="1" s="1"/>
  <c r="G35" i="4"/>
  <c r="H34" i="4"/>
  <c r="G33" i="4"/>
  <c r="H32" i="4"/>
  <c r="G30" i="4"/>
  <c r="D50" i="1" s="1"/>
  <c r="L50" i="1" s="1"/>
  <c r="G29" i="4"/>
  <c r="D49" i="1" s="1"/>
  <c r="H27" i="4"/>
  <c r="D46" i="1" s="1"/>
  <c r="L46" i="1" s="1"/>
  <c r="H23" i="4"/>
  <c r="H22" i="4"/>
  <c r="D34" i="1" s="1"/>
  <c r="J34" i="1" s="1"/>
  <c r="H19" i="4"/>
  <c r="D31" i="1" s="1"/>
  <c r="H17" i="4"/>
  <c r="H16" i="4"/>
  <c r="H15" i="4"/>
  <c r="D25" i="1" s="1"/>
  <c r="H14" i="4"/>
  <c r="D24" i="1" s="1"/>
  <c r="G9" i="4"/>
  <c r="G5" i="4"/>
  <c r="D8" i="1" s="1"/>
  <c r="C54" i="1"/>
  <c r="F3" i="2"/>
  <c r="E18" i="2"/>
  <c r="E29" i="2"/>
  <c r="F17" i="2"/>
  <c r="C15" i="1"/>
  <c r="E3" i="2"/>
  <c r="G5" i="2"/>
  <c r="C8" i="1" s="1"/>
  <c r="E7" i="2"/>
  <c r="C55" i="1"/>
  <c r="C50" i="1"/>
  <c r="C40" i="1"/>
  <c r="C39" i="1"/>
  <c r="C32" i="1"/>
  <c r="C33" i="1"/>
  <c r="C34" i="1"/>
  <c r="C31" i="1"/>
  <c r="C24" i="1"/>
  <c r="C25" i="1"/>
  <c r="C26" i="1"/>
  <c r="C14" i="1"/>
  <c r="C18" i="1" s="1"/>
  <c r="F24" i="2"/>
  <c r="F23" i="2"/>
  <c r="G35" i="2"/>
  <c r="H34" i="2"/>
  <c r="G33" i="2"/>
  <c r="H32" i="2"/>
  <c r="G29" i="2"/>
  <c r="C49" i="1" s="1"/>
  <c r="G30" i="2"/>
  <c r="G31" i="2"/>
  <c r="G28" i="2"/>
  <c r="C47" i="1" s="1"/>
  <c r="F47" i="1" s="1"/>
  <c r="H27" i="2"/>
  <c r="C46" i="1" s="1"/>
  <c r="H14" i="2"/>
  <c r="H15" i="2"/>
  <c r="H16" i="2"/>
  <c r="H17" i="2"/>
  <c r="C27" i="1" s="1"/>
  <c r="H19" i="2"/>
  <c r="H20" i="2"/>
  <c r="H21" i="2"/>
  <c r="H22" i="2"/>
  <c r="H24" i="2"/>
  <c r="H25" i="2"/>
  <c r="H26" i="2"/>
  <c r="H13" i="2"/>
  <c r="C23" i="1" s="1"/>
  <c r="G4" i="2"/>
  <c r="C7" i="1" s="1"/>
  <c r="G6" i="2"/>
  <c r="C9" i="1" s="1"/>
  <c r="G7" i="2"/>
  <c r="C10" i="1" s="1"/>
  <c r="G8" i="2"/>
  <c r="C11" i="1" s="1"/>
  <c r="G9" i="2"/>
  <c r="G12" i="2"/>
  <c r="C17" i="1" s="1"/>
  <c r="L17" i="1" s="1"/>
  <c r="L56" i="1" l="1"/>
  <c r="F55" i="1"/>
  <c r="L31" i="1"/>
  <c r="J40" i="1"/>
  <c r="L39" i="1"/>
  <c r="L33" i="1"/>
  <c r="F49" i="1"/>
  <c r="L34" i="1"/>
  <c r="L8" i="1"/>
  <c r="L11" i="1"/>
  <c r="J54" i="1"/>
  <c r="J56" i="1"/>
  <c r="J17" i="1"/>
  <c r="L55" i="1"/>
  <c r="J50" i="1"/>
  <c r="J16" i="1"/>
  <c r="J14" i="1"/>
  <c r="L32" i="1"/>
  <c r="J24" i="1"/>
  <c r="G49" i="1"/>
  <c r="L15" i="1"/>
  <c r="L23" i="1"/>
  <c r="J49" i="1"/>
  <c r="L9" i="1"/>
  <c r="J25" i="1"/>
  <c r="J27" i="1"/>
  <c r="L47" i="1"/>
  <c r="J52" i="1"/>
  <c r="J39" i="1"/>
  <c r="L52" i="1"/>
  <c r="J33" i="1"/>
  <c r="J26" i="1"/>
  <c r="F56" i="1"/>
  <c r="J31" i="1"/>
  <c r="L27" i="1"/>
  <c r="J23" i="1"/>
  <c r="L26" i="1"/>
  <c r="G54" i="1"/>
  <c r="F54" i="1"/>
  <c r="J8" i="1"/>
  <c r="L25" i="1"/>
  <c r="L14" i="1"/>
  <c r="F46" i="1"/>
  <c r="G50" i="1"/>
  <c r="J11" i="1"/>
  <c r="L54" i="1"/>
  <c r="G46" i="1"/>
  <c r="L40" i="1"/>
  <c r="L24" i="1"/>
  <c r="J47" i="1"/>
  <c r="G56" i="1"/>
  <c r="G52" i="1"/>
  <c r="J46" i="1"/>
  <c r="J15" i="1"/>
  <c r="L49" i="1"/>
  <c r="J55" i="1"/>
  <c r="G55" i="1"/>
  <c r="G47" i="1"/>
  <c r="F50" i="1"/>
  <c r="G3" i="4"/>
  <c r="D6" i="1" s="1"/>
  <c r="J6" i="1" s="1"/>
  <c r="D48" i="1"/>
  <c r="D35" i="1"/>
  <c r="C35" i="1"/>
  <c r="D18" i="1"/>
  <c r="G4" i="4"/>
  <c r="D7" i="1" s="1"/>
  <c r="G7" i="4"/>
  <c r="G3" i="2"/>
  <c r="C6" i="1" s="1"/>
  <c r="C48" i="1"/>
  <c r="H23" i="2"/>
  <c r="G10" i="2"/>
  <c r="C51" i="1" l="1"/>
  <c r="F48" i="1"/>
  <c r="L18" i="1"/>
  <c r="J18" i="1"/>
  <c r="J7" i="1"/>
  <c r="L7" i="1"/>
  <c r="L6" i="1"/>
  <c r="L35" i="1"/>
  <c r="J35" i="1"/>
  <c r="D51" i="1"/>
  <c r="L48" i="1"/>
  <c r="J48" i="1"/>
  <c r="G48" i="1"/>
  <c r="C12" i="1"/>
  <c r="D10" i="1"/>
  <c r="C38" i="1"/>
  <c r="C19" i="1" l="1"/>
  <c r="F6" i="1" s="1"/>
  <c r="L10" i="1"/>
  <c r="J10" i="1"/>
  <c r="D53" i="1"/>
  <c r="J51" i="1"/>
  <c r="G51" i="1"/>
  <c r="L51" i="1"/>
  <c r="J38" i="1"/>
  <c r="L38" i="1"/>
  <c r="C53" i="1"/>
  <c r="F51" i="1"/>
  <c r="F19" i="1"/>
  <c r="F9" i="1"/>
  <c r="F10" i="1"/>
  <c r="F18" i="1"/>
  <c r="F7" i="1"/>
  <c r="F17" i="1"/>
  <c r="F16" i="1"/>
  <c r="F14" i="1"/>
  <c r="F15" i="1"/>
  <c r="F12" i="1"/>
  <c r="D12" i="1"/>
  <c r="F11" i="1" l="1"/>
  <c r="F8" i="1"/>
  <c r="D57" i="1"/>
  <c r="G53" i="1"/>
  <c r="J53" i="1"/>
  <c r="L53" i="1"/>
  <c r="J12" i="1"/>
  <c r="L12" i="1"/>
  <c r="C57" i="1"/>
  <c r="F53" i="1"/>
  <c r="D19" i="1"/>
  <c r="D76" i="1" l="1"/>
  <c r="D93" i="1"/>
  <c r="G12" i="1"/>
  <c r="L19" i="1"/>
  <c r="J19" i="1"/>
  <c r="F57" i="1"/>
  <c r="C58" i="1"/>
  <c r="C59" i="1" s="1"/>
  <c r="D58" i="1"/>
  <c r="J57" i="1"/>
  <c r="L57" i="1"/>
  <c r="G57" i="1"/>
  <c r="G17" i="1"/>
  <c r="G19" i="1"/>
  <c r="G14" i="1"/>
  <c r="G8" i="1"/>
  <c r="G11" i="1"/>
  <c r="G9" i="1"/>
  <c r="G15" i="1"/>
  <c r="G16" i="1"/>
  <c r="G18" i="1"/>
  <c r="G7" i="1"/>
  <c r="G6" i="1"/>
  <c r="G10" i="1"/>
  <c r="H18" i="4"/>
  <c r="J93" i="1" l="1"/>
  <c r="L93" i="1"/>
  <c r="L76" i="1"/>
  <c r="J76" i="1"/>
  <c r="F59" i="1"/>
  <c r="C41" i="1"/>
  <c r="C42" i="1" s="1"/>
  <c r="J58" i="1"/>
  <c r="L58" i="1"/>
  <c r="E36" i="4"/>
  <c r="G58" i="1"/>
  <c r="D59" i="1"/>
  <c r="F58" i="1"/>
  <c r="F18" i="2"/>
  <c r="E36" i="2"/>
  <c r="D28" i="1"/>
  <c r="G59" i="1" l="1"/>
  <c r="L59" i="1"/>
  <c r="J59" i="1"/>
  <c r="G36" i="4"/>
  <c r="G37" i="4" s="1"/>
  <c r="E37" i="4"/>
  <c r="D29" i="1"/>
  <c r="G36" i="2"/>
  <c r="G37" i="2" s="1"/>
  <c r="E37" i="2"/>
  <c r="H18" i="2"/>
  <c r="F37" i="2"/>
  <c r="D41" i="1"/>
  <c r="D64" i="1" l="1"/>
  <c r="D66" i="1"/>
  <c r="D36" i="1"/>
  <c r="J41" i="1"/>
  <c r="L41" i="1"/>
  <c r="C28" i="1"/>
  <c r="H37" i="2"/>
  <c r="H41" i="2" s="1"/>
  <c r="E38" i="2"/>
  <c r="G38" i="2" l="1"/>
  <c r="C29" i="1"/>
  <c r="L28" i="1"/>
  <c r="J28" i="1"/>
  <c r="C66" i="1" l="1"/>
  <c r="C64" i="1"/>
  <c r="C36" i="1"/>
  <c r="L29" i="1"/>
  <c r="J29" i="1"/>
  <c r="J64" i="1" l="1"/>
  <c r="L64" i="1"/>
  <c r="C43" i="1"/>
  <c r="F36" i="1" s="1"/>
  <c r="J36" i="1"/>
  <c r="L36" i="1"/>
  <c r="H26" i="4"/>
  <c r="D42" i="1" s="1"/>
  <c r="F37" i="4"/>
  <c r="E38" i="4" s="1"/>
  <c r="H37" i="4"/>
  <c r="G38" i="4" s="1"/>
  <c r="J42" i="1" l="1"/>
  <c r="L42" i="1"/>
  <c r="F34" i="1"/>
  <c r="F24" i="1"/>
  <c r="C44" i="1"/>
  <c r="F31" i="1"/>
  <c r="F35" i="1"/>
  <c r="F28" i="1"/>
  <c r="F38" i="1"/>
  <c r="F32" i="1"/>
  <c r="F42" i="1"/>
  <c r="F27" i="1"/>
  <c r="F23" i="1"/>
  <c r="F29" i="1"/>
  <c r="F25" i="1"/>
  <c r="F33" i="1"/>
  <c r="F30" i="1"/>
  <c r="F39" i="1"/>
  <c r="F37" i="1"/>
  <c r="F26" i="1"/>
  <c r="F40" i="1"/>
  <c r="F41" i="1"/>
  <c r="F43" i="1"/>
  <c r="D43" i="1"/>
  <c r="L43" i="1" l="1"/>
  <c r="J43" i="1"/>
  <c r="D44" i="1"/>
  <c r="G42" i="1"/>
  <c r="G36" i="1"/>
  <c r="G37" i="1"/>
  <c r="G26" i="1"/>
  <c r="G30" i="1"/>
  <c r="G34" i="1"/>
  <c r="G38" i="1"/>
  <c r="G31" i="1"/>
  <c r="G39" i="1"/>
  <c r="G43" i="1"/>
  <c r="G28" i="1"/>
  <c r="G23" i="1"/>
  <c r="G40" i="1"/>
  <c r="G33" i="1"/>
  <c r="G27" i="1"/>
  <c r="G35" i="1"/>
  <c r="G32" i="1"/>
  <c r="G24" i="1"/>
  <c r="G29" i="1"/>
  <c r="G25" i="1"/>
  <c r="G41" i="1"/>
</calcChain>
</file>

<file path=xl/comments1.xml><?xml version="1.0" encoding="utf-8"?>
<comments xmlns="http://schemas.openxmlformats.org/spreadsheetml/2006/main">
  <authors>
    <author>Faysal</author>
  </authors>
  <commentList>
    <comment ref="B64" authorId="0" shapeId="0">
      <text>
        <r>
          <rPr>
            <b/>
            <sz val="9"/>
            <color indexed="81"/>
            <rFont val="Tahoma"/>
            <family val="2"/>
          </rPr>
          <t xml:space="preserve">Working capital </t>
        </r>
        <r>
          <rPr>
            <sz val="9"/>
            <color indexed="81"/>
            <rFont val="Tahoma"/>
            <family val="2"/>
          </rPr>
          <t xml:space="preserve">is a financial metric that represents the difference between a company's current assets and current liabilities. It is a measure of a company's short-term liquidity and operational efficiency. Working capital is essential for managing day-to-day operations and ensuring that a business can cover its short-term obligations.
</t>
        </r>
        <r>
          <rPr>
            <b/>
            <sz val="9"/>
            <color indexed="81"/>
            <rFont val="Tahoma"/>
            <family val="2"/>
          </rPr>
          <t>Key Components of Working Capital</t>
        </r>
        <r>
          <rPr>
            <sz val="9"/>
            <color indexed="81"/>
            <rFont val="Tahoma"/>
            <family val="2"/>
          </rPr>
          <t xml:space="preserve">:
1.Current Assets: These include cash, accounts receivable, inventory, and other assets expected to be converted into cash or used within one year.
2. Current Liabilities: These include accounts payable, short-term debt, accrued liabilities, and other obligations due within one year.
Formula:
The formula for calculating working capital is:
</t>
        </r>
        <r>
          <rPr>
            <b/>
            <sz val="9"/>
            <color indexed="81"/>
            <rFont val="Tahoma"/>
            <family val="2"/>
          </rPr>
          <t>Working Capital = Current Assets- Current Liabilities</t>
        </r>
        <r>
          <rPr>
            <sz val="9"/>
            <color indexed="81"/>
            <rFont val="Tahoma"/>
            <family val="2"/>
          </rPr>
          <t xml:space="preserve">
Importance of Working Capital:
- </t>
        </r>
        <r>
          <rPr>
            <b/>
            <sz val="9"/>
            <color indexed="81"/>
            <rFont val="Tahoma"/>
            <family val="2"/>
          </rPr>
          <t>Liquidity Management</t>
        </r>
        <r>
          <rPr>
            <sz val="9"/>
            <color indexed="81"/>
            <rFont val="Tahoma"/>
            <family val="2"/>
          </rPr>
          <t xml:space="preserve">: Positive working capital indicates that a company can easily pay off its short-term liabilities, while negative working capital may signal financial difficulties.
- </t>
        </r>
        <r>
          <rPr>
            <b/>
            <sz val="9"/>
            <color indexed="81"/>
            <rFont val="Tahoma"/>
            <family val="2"/>
          </rPr>
          <t>Operational Efficiency</t>
        </r>
        <r>
          <rPr>
            <sz val="9"/>
            <color indexed="81"/>
            <rFont val="Tahoma"/>
            <family val="2"/>
          </rPr>
          <t>: Efficient management of working capital can improve a company's profitability and operational performance.
-</t>
        </r>
        <r>
          <rPr>
            <b/>
            <sz val="9"/>
            <color indexed="81"/>
            <rFont val="Tahoma"/>
            <family val="2"/>
          </rPr>
          <t xml:space="preserve"> Investment in Growth</t>
        </r>
        <r>
          <rPr>
            <sz val="9"/>
            <color indexed="81"/>
            <rFont val="Tahoma"/>
            <family val="2"/>
          </rPr>
          <t xml:space="preserve">: Adequate working capital allows businesses to invest in opportunities for growth without financial strain.
 Additional Insights:
- </t>
        </r>
        <r>
          <rPr>
            <b/>
            <sz val="9"/>
            <color indexed="81"/>
            <rFont val="Tahoma"/>
            <family val="2"/>
          </rPr>
          <t>Working Capital Ratio</t>
        </r>
        <r>
          <rPr>
            <sz val="9"/>
            <color indexed="81"/>
            <rFont val="Tahoma"/>
            <family val="2"/>
          </rPr>
          <t xml:space="preserve">: This ratio (Current Assets / Current Liabilities) provides insights into the liquidity and operational efficiency of a company.
- </t>
        </r>
        <r>
          <rPr>
            <b/>
            <sz val="9"/>
            <color indexed="81"/>
            <rFont val="Tahoma"/>
            <family val="2"/>
          </rPr>
          <t>Seasonal Fluctuations</t>
        </r>
        <r>
          <rPr>
            <sz val="9"/>
            <color indexed="81"/>
            <rFont val="Tahoma"/>
            <family val="2"/>
          </rPr>
          <t xml:space="preserve">: Some businesses experience seasonal fluctuations in working capital needs, requiring careful planning to manage cash flow.
Effective working capital management is crucial for maintaining the financial health of a business and ensuring its ability to meet obligations and invest in growth opportunities.
</t>
        </r>
      </text>
    </comment>
  </commentList>
</comments>
</file>

<file path=xl/sharedStrings.xml><?xml version="1.0" encoding="utf-8"?>
<sst xmlns="http://schemas.openxmlformats.org/spreadsheetml/2006/main" count="249" uniqueCount="128">
  <si>
    <t>Prior Year End</t>
  </si>
  <si>
    <t>Current Year End</t>
  </si>
  <si>
    <t>CURRENT ASSETS:</t>
  </si>
  <si>
    <t xml:space="preserve">   Cash and equivalents</t>
  </si>
  <si>
    <t xml:space="preserve">   Available-for sale securities</t>
  </si>
  <si>
    <t xml:space="preserve">   Accounts receivable (net)</t>
  </si>
  <si>
    <t xml:space="preserve">   Notes receivable</t>
  </si>
  <si>
    <t xml:space="preserve">   Inventories</t>
  </si>
  <si>
    <t xml:space="preserve">   Prepaid expenses</t>
  </si>
  <si>
    <t xml:space="preserve">      Total current assets</t>
  </si>
  <si>
    <t>NONCURRENT ASSETS:</t>
  </si>
  <si>
    <t xml:space="preserve">   Equity-method investments</t>
  </si>
  <si>
    <t xml:space="preserve">   Less: Accum, depreciation</t>
  </si>
  <si>
    <t xml:space="preserve">   Property, plant, &amp; equipment</t>
  </si>
  <si>
    <t xml:space="preserve">   Goodwill</t>
  </si>
  <si>
    <t xml:space="preserve">      Total noncurrent assets</t>
  </si>
  <si>
    <t>Total assets</t>
  </si>
  <si>
    <t>Assets</t>
  </si>
  <si>
    <t>Liabilities and Stockholder's equity</t>
  </si>
  <si>
    <t xml:space="preserve">   Account payable</t>
  </si>
  <si>
    <t>Long-term notes payable</t>
  </si>
  <si>
    <t xml:space="preserve">   Long-term notes payable</t>
  </si>
  <si>
    <t>Employee- related obligations</t>
  </si>
  <si>
    <t>Deferred income taxes</t>
  </si>
  <si>
    <t xml:space="preserve">   Employee- related obligations</t>
  </si>
  <si>
    <t xml:space="preserve">   Deferred income taxes</t>
  </si>
  <si>
    <t xml:space="preserve">      Total noncurrent liabilities</t>
  </si>
  <si>
    <t>CURRENT LIABILITIES:</t>
  </si>
  <si>
    <t>NONCURRENT LIABILITIES:</t>
  </si>
  <si>
    <t>Bonds payables</t>
  </si>
  <si>
    <t>Notes payable</t>
  </si>
  <si>
    <t>Accrued interest on note</t>
  </si>
  <si>
    <t>Current maturities of L.T. debt</t>
  </si>
  <si>
    <t>Accrued salaries and wages</t>
  </si>
  <si>
    <t>Income tax payable</t>
  </si>
  <si>
    <t xml:space="preserve">   Notes payable</t>
  </si>
  <si>
    <t xml:space="preserve">   Accrued interest on note</t>
  </si>
  <si>
    <t xml:space="preserve">   Current maturities of L.T. debt</t>
  </si>
  <si>
    <t xml:space="preserve">   Accrued salaries and wages</t>
  </si>
  <si>
    <t xml:space="preserve">   Income tax payable</t>
  </si>
  <si>
    <t xml:space="preserve">   Bonds payables</t>
  </si>
  <si>
    <t xml:space="preserve">      Total current liabilities</t>
  </si>
  <si>
    <t xml:space="preserve">      Total Liabilities</t>
  </si>
  <si>
    <t>STOCKHOLDERS EQUITY:</t>
  </si>
  <si>
    <t>Preferred stock, $30 par</t>
  </si>
  <si>
    <t>Common stock, $1 par</t>
  </si>
  <si>
    <t>Additional paid-in capital</t>
  </si>
  <si>
    <t>Retained earnings</t>
  </si>
  <si>
    <t xml:space="preserve">      Total stockholder's equity</t>
  </si>
  <si>
    <t>Total Liabilities and Stockholder's equity</t>
  </si>
  <si>
    <t xml:space="preserve">   Preferred stock, $30 par</t>
  </si>
  <si>
    <t xml:space="preserve">   Common stock, $1 par</t>
  </si>
  <si>
    <t xml:space="preserve">   Additional paid-in capital</t>
  </si>
  <si>
    <t xml:space="preserve">   Retained earnings</t>
  </si>
  <si>
    <t>Cash and equivalents</t>
  </si>
  <si>
    <t>Available-for sale securities</t>
  </si>
  <si>
    <t>Accounts receivable (net)</t>
  </si>
  <si>
    <t>Notes receivable</t>
  </si>
  <si>
    <t>Inventories</t>
  </si>
  <si>
    <t>Prepaid expenses</t>
  </si>
  <si>
    <t>Equity-method investments</t>
  </si>
  <si>
    <t>Property, plant, &amp; equipment</t>
  </si>
  <si>
    <t>Goodwill</t>
  </si>
  <si>
    <t>Account payable</t>
  </si>
  <si>
    <t>Accounts</t>
  </si>
  <si>
    <t>Liabilities</t>
  </si>
  <si>
    <t>Stockholder's</t>
  </si>
  <si>
    <t>Sales</t>
  </si>
  <si>
    <t>Revenue</t>
  </si>
  <si>
    <t>Expenses</t>
  </si>
  <si>
    <t>Account Type</t>
  </si>
  <si>
    <t>Debit</t>
  </si>
  <si>
    <t>Credit</t>
  </si>
  <si>
    <t>Description</t>
  </si>
  <si>
    <t>Balance Sheet</t>
  </si>
  <si>
    <t>Income Statement</t>
  </si>
  <si>
    <t>Net sales</t>
  </si>
  <si>
    <t>Cost of goods sold</t>
  </si>
  <si>
    <t>Gross profit</t>
  </si>
  <si>
    <t>SG&amp;A expenses</t>
  </si>
  <si>
    <t>Interest expense</t>
  </si>
  <si>
    <t>R&amp;D</t>
  </si>
  <si>
    <t>Depreciation and amortization</t>
  </si>
  <si>
    <t>Interest Income</t>
  </si>
  <si>
    <t>Other income and Expenses</t>
  </si>
  <si>
    <t>Earning before taxes (EBT)</t>
  </si>
  <si>
    <t>Taxes</t>
  </si>
  <si>
    <t>Net Income</t>
  </si>
  <si>
    <t>Other income</t>
  </si>
  <si>
    <t>Other expense</t>
  </si>
  <si>
    <t xml:space="preserve">100,000 Share, $30 </t>
  </si>
  <si>
    <t>5,000 Shares, 1 Par</t>
  </si>
  <si>
    <t>Total Trial Balance</t>
  </si>
  <si>
    <t>Cost During the Year $250K</t>
  </si>
  <si>
    <t>3M Openinng Balance &amp; 2.5 Purchased during the Year</t>
  </si>
  <si>
    <t>Company buys $200K worth of AVFSS</t>
  </si>
  <si>
    <t>Sales of 5M During the Year</t>
  </si>
  <si>
    <t>Cost of sales of 5M is 3.5M ( 70%), Gross profit (30%)</t>
  </si>
  <si>
    <t>Taxes(40%)</t>
  </si>
  <si>
    <t>Paying 50% of Income Tax payable</t>
  </si>
  <si>
    <r>
      <t xml:space="preserve">Earning before interest, taxes, depreciation, and amortization </t>
    </r>
    <r>
      <rPr>
        <b/>
        <sz val="8"/>
        <color theme="1"/>
        <rFont val="Calibri"/>
        <family val="2"/>
        <scheme val="minor"/>
      </rPr>
      <t>(EBIDA)</t>
    </r>
  </si>
  <si>
    <r>
      <t xml:space="preserve">Earning before interest and taxes </t>
    </r>
    <r>
      <rPr>
        <b/>
        <sz val="8"/>
        <color theme="1"/>
        <rFont val="Calibri"/>
        <family val="2"/>
        <scheme val="minor"/>
      </rPr>
      <t>(EBIT)</t>
    </r>
  </si>
  <si>
    <t>Accum, depreciation</t>
  </si>
  <si>
    <t>Vertical Analyisis</t>
  </si>
  <si>
    <t>Horizontal Analyisis</t>
  </si>
  <si>
    <t>Percentage Change</t>
  </si>
  <si>
    <t>Liquidity</t>
  </si>
  <si>
    <t>Net Working Capital = Current Assets - Current Liability</t>
  </si>
  <si>
    <t>(is a firm ability to pay its current obligations in the short run)</t>
  </si>
  <si>
    <r>
      <t xml:space="preserve">Current Ratio = </t>
    </r>
    <r>
      <rPr>
        <b/>
        <u/>
        <sz val="8"/>
        <color theme="1"/>
        <rFont val="Calibri"/>
        <family val="2"/>
        <scheme val="minor"/>
      </rPr>
      <t xml:space="preserve">Current Assets
</t>
    </r>
    <r>
      <rPr>
        <b/>
        <sz val="8"/>
        <color theme="1"/>
        <rFont val="Calibri"/>
        <family val="2"/>
        <scheme val="minor"/>
      </rPr>
      <t xml:space="preserve">                         Current Liabilities</t>
    </r>
  </si>
  <si>
    <t>(Quick ratio (acid-test) ratio excludes Inventories &amp; Prepaids  from the numerator)</t>
  </si>
  <si>
    <r>
      <t xml:space="preserve">Quick Ratio = </t>
    </r>
    <r>
      <rPr>
        <b/>
        <u/>
        <sz val="8"/>
        <color theme="1"/>
        <rFont val="Calibri"/>
        <family val="2"/>
        <scheme val="minor"/>
      </rPr>
      <t xml:space="preserve">Cash +Marketable Securities +Net receivables
</t>
    </r>
    <r>
      <rPr>
        <b/>
        <sz val="8"/>
        <color theme="1"/>
        <rFont val="Calibri"/>
        <family val="2"/>
        <scheme val="minor"/>
      </rPr>
      <t xml:space="preserve">                                              Current Liabilities</t>
    </r>
  </si>
  <si>
    <r>
      <t xml:space="preserve">Cash Ratio = </t>
    </r>
    <r>
      <rPr>
        <b/>
        <u/>
        <sz val="8"/>
        <color theme="1"/>
        <rFont val="Calibri"/>
        <family val="2"/>
        <scheme val="minor"/>
      </rPr>
      <t xml:space="preserve">Cash +Marketable Securities 
</t>
    </r>
    <r>
      <rPr>
        <b/>
        <sz val="8"/>
        <color theme="1"/>
        <rFont val="Calibri"/>
        <family val="2"/>
        <scheme val="minor"/>
      </rPr>
      <t xml:space="preserve">                                Current Liabilities</t>
    </r>
  </si>
  <si>
    <t>(Cash ratio more conservative variation of Quick ratio)</t>
  </si>
  <si>
    <r>
      <t xml:space="preserve">Cash Ratio = </t>
    </r>
    <r>
      <rPr>
        <b/>
        <u/>
        <sz val="8"/>
        <color theme="1"/>
        <rFont val="Calibri"/>
        <family val="2"/>
        <scheme val="minor"/>
      </rPr>
      <t xml:space="preserve">Cash flow from operations
</t>
    </r>
    <r>
      <rPr>
        <b/>
        <sz val="8"/>
        <color theme="1"/>
        <rFont val="Calibri"/>
        <family val="2"/>
        <scheme val="minor"/>
      </rPr>
      <t xml:space="preserve">                             Current Liabilities</t>
    </r>
  </si>
  <si>
    <r>
      <t xml:space="preserve">Net Working Capital Ratio = </t>
    </r>
    <r>
      <rPr>
        <b/>
        <u/>
        <sz val="8"/>
        <color theme="1"/>
        <rFont val="Calibri"/>
        <family val="2"/>
        <scheme val="minor"/>
      </rPr>
      <t xml:space="preserve">Current Assets - Current Liabilities
</t>
    </r>
    <r>
      <rPr>
        <b/>
        <sz val="8"/>
        <color theme="1"/>
        <rFont val="Calibri"/>
        <family val="2"/>
        <scheme val="minor"/>
      </rPr>
      <t xml:space="preserve">                                                           Total Assets</t>
    </r>
  </si>
  <si>
    <t>(Net Working Capital Ratio is the conservative of the Working capital ratios)</t>
  </si>
  <si>
    <t>Solvency</t>
  </si>
  <si>
    <t>(is a firm ability to Meet its long-term obligations)</t>
  </si>
  <si>
    <t>Capital Structure Ratios</t>
  </si>
  <si>
    <r>
      <t xml:space="preserve">Total debt-to-total capital ratio = </t>
    </r>
    <r>
      <rPr>
        <b/>
        <u/>
        <sz val="8"/>
        <color theme="1"/>
        <rFont val="Calibri"/>
        <family val="2"/>
        <scheme val="minor"/>
      </rPr>
      <t xml:space="preserve">Total debt
</t>
    </r>
    <r>
      <rPr>
        <b/>
        <sz val="8"/>
        <color theme="1"/>
        <rFont val="Calibri"/>
        <family val="2"/>
        <scheme val="minor"/>
      </rPr>
      <t xml:space="preserve">                                                         Total capital</t>
    </r>
  </si>
  <si>
    <r>
      <t xml:space="preserve">Debt-to-equity ratio = </t>
    </r>
    <r>
      <rPr>
        <b/>
        <u/>
        <sz val="8"/>
        <color theme="1"/>
        <rFont val="Calibri"/>
        <family val="2"/>
        <scheme val="minor"/>
      </rPr>
      <t xml:space="preserve">Total debt
</t>
    </r>
    <r>
      <rPr>
        <b/>
        <sz val="8"/>
        <color theme="1"/>
        <rFont val="Calibri"/>
        <family val="2"/>
        <scheme val="minor"/>
      </rPr>
      <t xml:space="preserve">                              Stockholders's equity</t>
    </r>
  </si>
  <si>
    <r>
      <t xml:space="preserve">Long-Term debt-to-Equity ratio = </t>
    </r>
    <r>
      <rPr>
        <b/>
        <u/>
        <sz val="8"/>
        <color theme="1"/>
        <rFont val="Calibri"/>
        <family val="2"/>
        <scheme val="minor"/>
      </rPr>
      <t xml:space="preserve">Long-term debt
</t>
    </r>
    <r>
      <rPr>
        <b/>
        <sz val="8"/>
        <color theme="1"/>
        <rFont val="Calibri"/>
        <family val="2"/>
        <scheme val="minor"/>
      </rPr>
      <t xml:space="preserve">                                                   Stockholders's equity</t>
    </r>
  </si>
  <si>
    <r>
      <t xml:space="preserve">Debt to Total assets ratio = </t>
    </r>
    <r>
      <rPr>
        <b/>
        <u/>
        <sz val="8"/>
        <color theme="1"/>
        <rFont val="Calibri"/>
        <family val="2"/>
        <scheme val="minor"/>
      </rPr>
      <t xml:space="preserve">Total Liabilities
</t>
    </r>
    <r>
      <rPr>
        <b/>
        <sz val="8"/>
        <color theme="1"/>
        <rFont val="Calibri"/>
        <family val="2"/>
        <scheme val="minor"/>
      </rPr>
      <t xml:space="preserve">                                                  Total Assets</t>
    </r>
  </si>
  <si>
    <t>Earning Coverage Ratios</t>
  </si>
  <si>
    <r>
      <t xml:space="preserve">Times interest reaned ratio = </t>
    </r>
    <r>
      <rPr>
        <b/>
        <u/>
        <sz val="8"/>
        <color theme="1"/>
        <rFont val="Calibri"/>
        <family val="2"/>
        <scheme val="minor"/>
      </rPr>
      <t xml:space="preserve">Earnings before interest and taxes
</t>
    </r>
    <r>
      <rPr>
        <b/>
        <sz val="8"/>
        <color theme="1"/>
        <rFont val="Calibri"/>
        <family val="2"/>
        <scheme val="minor"/>
      </rPr>
      <t xml:space="preserve">                                                  Interest expense</t>
    </r>
  </si>
  <si>
    <t>Liquidity &amp; Solvency Ratios</t>
  </si>
  <si>
    <t>Cost During the Year $5K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</si>
</sst>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_-;\-* #,##0_-;_-* &quot;-&quot;??_-;_-@_-"/>
    <numFmt numFmtId="165" formatCode="[$$-409]#,##0"/>
    <numFmt numFmtId="166" formatCode="_-[$$-409]* #,##0.00_ ;_-[$$-409]* \-#,##0.00\ ;_-[$$-409]* &quot;-&quot;??_ ;_-@_ "/>
    <numFmt numFmtId="167" formatCode="_-[$$-409]* #,##0_ ;_-[$$-409]* \-#,##0\ ;_-[$$-409]* &quot;-&quot;??_ ;_-@_ "/>
  </numFmts>
  <fonts count="1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b/>
      <sz val="8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43" fontId="0" fillId="0" borderId="0" xfId="1" applyFont="1"/>
    <xf numFmtId="43" fontId="2" fillId="0" borderId="3" xfId="1" applyFont="1" applyBorder="1"/>
    <xf numFmtId="0" fontId="0" fillId="0" borderId="4" xfId="0" applyBorder="1"/>
    <xf numFmtId="43" fontId="0" fillId="0" borderId="4" xfId="1" applyFont="1" applyBorder="1"/>
    <xf numFmtId="43" fontId="2" fillId="2" borderId="4" xfId="1" applyFont="1" applyFill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43" fontId="2" fillId="0" borderId="5" xfId="1" applyFont="1" applyBorder="1" applyAlignment="1">
      <alignment horizontal="center"/>
    </xf>
    <xf numFmtId="43" fontId="2" fillId="0" borderId="5" xfId="1" applyFont="1" applyBorder="1"/>
    <xf numFmtId="0" fontId="2" fillId="0" borderId="3" xfId="0" applyFont="1" applyBorder="1" applyAlignment="1">
      <alignment horizontal="centerContinuous"/>
    </xf>
    <xf numFmtId="0" fontId="0" fillId="0" borderId="6" xfId="0" applyBorder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3" fontId="2" fillId="0" borderId="5" xfId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43" fontId="0" fillId="0" borderId="0" xfId="0" applyNumberFormat="1" applyAlignment="1">
      <alignment vertical="center"/>
    </xf>
    <xf numFmtId="9" fontId="0" fillId="0" borderId="0" xfId="2" applyFont="1" applyAlignment="1">
      <alignment vertical="center"/>
    </xf>
    <xf numFmtId="10" fontId="0" fillId="0" borderId="0" xfId="2" applyNumberFormat="1" applyFont="1" applyAlignment="1">
      <alignment vertical="center"/>
    </xf>
    <xf numFmtId="10" fontId="2" fillId="0" borderId="2" xfId="2" applyNumberFormat="1" applyFont="1" applyBorder="1" applyAlignment="1">
      <alignment vertical="center"/>
    </xf>
    <xf numFmtId="10" fontId="2" fillId="0" borderId="3" xfId="2" applyNumberFormat="1" applyFont="1" applyBorder="1" applyAlignment="1">
      <alignment vertical="center"/>
    </xf>
    <xf numFmtId="0" fontId="5" fillId="4" borderId="2" xfId="0" applyFont="1" applyFill="1" applyBorder="1" applyAlignment="1">
      <alignment horizontal="centerContinuous" vertical="center" wrapText="1"/>
    </xf>
    <xf numFmtId="9" fontId="0" fillId="0" borderId="0" xfId="0" applyNumberFormat="1" applyAlignment="1">
      <alignment vertical="center"/>
    </xf>
    <xf numFmtId="9" fontId="0" fillId="0" borderId="0" xfId="2" applyFont="1" applyAlignment="1">
      <alignment horizontal="right" vertical="center"/>
    </xf>
    <xf numFmtId="0" fontId="5" fillId="4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10" fontId="2" fillId="0" borderId="0" xfId="2" applyNumberFormat="1" applyFont="1" applyBorder="1" applyAlignment="1">
      <alignment vertical="center"/>
    </xf>
    <xf numFmtId="10" fontId="0" fillId="0" borderId="0" xfId="2" applyNumberFormat="1" applyFont="1" applyBorder="1" applyAlignment="1">
      <alignment vertical="center"/>
    </xf>
    <xf numFmtId="9" fontId="2" fillId="0" borderId="2" xfId="2" applyNumberFormat="1" applyFont="1" applyBorder="1" applyAlignment="1">
      <alignment vertical="center"/>
    </xf>
    <xf numFmtId="9" fontId="2" fillId="0" borderId="3" xfId="2" applyNumberFormat="1" applyFont="1" applyBorder="1" applyAlignment="1">
      <alignment vertical="center"/>
    </xf>
    <xf numFmtId="9" fontId="2" fillId="0" borderId="2" xfId="2" applyNumberFormat="1" applyFont="1" applyBorder="1" applyAlignment="1">
      <alignment horizontal="right" vertical="center"/>
    </xf>
    <xf numFmtId="9" fontId="2" fillId="0" borderId="0" xfId="0" applyNumberFormat="1" applyFont="1" applyAlignment="1">
      <alignment vertical="center"/>
    </xf>
    <xf numFmtId="9" fontId="2" fillId="0" borderId="0" xfId="2" applyFont="1" applyAlignment="1">
      <alignment horizontal="right" vertical="center"/>
    </xf>
    <xf numFmtId="9" fontId="0" fillId="0" borderId="0" xfId="2" applyNumberFormat="1" applyFont="1" applyAlignment="1">
      <alignment vertical="center"/>
    </xf>
    <xf numFmtId="9" fontId="0" fillId="0" borderId="0" xfId="2" applyNumberFormat="1" applyFont="1" applyAlignment="1">
      <alignment horizontal="right" vertical="center"/>
    </xf>
    <xf numFmtId="10" fontId="0" fillId="0" borderId="0" xfId="2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9" fontId="2" fillId="0" borderId="3" xfId="2" applyNumberFormat="1" applyFont="1" applyBorder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9" fontId="0" fillId="0" borderId="0" xfId="2" applyNumberFormat="1" applyFont="1" applyBorder="1" applyAlignment="1">
      <alignment horizontal="right" vertical="center"/>
    </xf>
    <xf numFmtId="9" fontId="2" fillId="0" borderId="0" xfId="2" applyNumberFormat="1" applyFont="1" applyBorder="1" applyAlignment="1">
      <alignment horizontal="right" vertical="center"/>
    </xf>
    <xf numFmtId="9" fontId="3" fillId="0" borderId="0" xfId="0" applyNumberFormat="1" applyFont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43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9" fontId="7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vertical="center"/>
    </xf>
    <xf numFmtId="164" fontId="0" fillId="0" borderId="1" xfId="1" applyNumberFormat="1" applyFont="1" applyBorder="1" applyAlignment="1">
      <alignment horizontal="right" vertical="center"/>
    </xf>
    <xf numFmtId="166" fontId="0" fillId="0" borderId="0" xfId="1" applyNumberFormat="1" applyFont="1" applyAlignment="1">
      <alignment horizontal="right" vertical="center"/>
    </xf>
    <xf numFmtId="166" fontId="2" fillId="0" borderId="2" xfId="1" applyNumberFormat="1" applyFont="1" applyBorder="1" applyAlignment="1">
      <alignment horizontal="right" vertical="center"/>
    </xf>
    <xf numFmtId="166" fontId="3" fillId="0" borderId="0" xfId="1" applyNumberFormat="1" applyFont="1" applyAlignment="1">
      <alignment horizontal="center" vertical="center"/>
    </xf>
    <xf numFmtId="166" fontId="8" fillId="3" borderId="0" xfId="1" applyNumberFormat="1" applyFont="1" applyFill="1" applyAlignment="1">
      <alignment horizontal="center" vertical="center" wrapText="1"/>
    </xf>
    <xf numFmtId="167" fontId="0" fillId="0" borderId="0" xfId="1" applyNumberFormat="1" applyFont="1" applyAlignment="1">
      <alignment horizontal="right" vertical="center"/>
    </xf>
    <xf numFmtId="167" fontId="2" fillId="0" borderId="0" xfId="1" applyNumberFormat="1" applyFont="1" applyAlignment="1">
      <alignment horizontal="right" vertical="center"/>
    </xf>
    <xf numFmtId="167" fontId="2" fillId="0" borderId="2" xfId="1" applyNumberFormat="1" applyFont="1" applyBorder="1" applyAlignment="1">
      <alignment horizontal="right" vertical="center"/>
    </xf>
    <xf numFmtId="167" fontId="2" fillId="0" borderId="3" xfId="1" applyNumberFormat="1" applyFont="1" applyBorder="1" applyAlignment="1">
      <alignment horizontal="right" vertical="center"/>
    </xf>
    <xf numFmtId="167" fontId="0" fillId="0" borderId="0" xfId="1" applyNumberFormat="1" applyFont="1" applyAlignment="1">
      <alignment horizontal="center" vertical="center"/>
    </xf>
    <xf numFmtId="167" fontId="2" fillId="0" borderId="3" xfId="1" applyNumberFormat="1" applyFont="1" applyBorder="1" applyAlignment="1">
      <alignment horizontal="center" vertical="center"/>
    </xf>
    <xf numFmtId="167" fontId="0" fillId="0" borderId="3" xfId="1" applyNumberFormat="1" applyFont="1" applyBorder="1" applyAlignment="1">
      <alignment horizontal="right" vertical="center"/>
    </xf>
    <xf numFmtId="167" fontId="2" fillId="2" borderId="3" xfId="1" applyNumberFormat="1" applyFont="1" applyFill="1" applyBorder="1" applyAlignment="1">
      <alignment horizontal="center" vertical="center"/>
    </xf>
    <xf numFmtId="9" fontId="2" fillId="2" borderId="3" xfId="2" applyNumberFormat="1" applyFont="1" applyFill="1" applyBorder="1" applyAlignment="1">
      <alignment vertical="center"/>
    </xf>
    <xf numFmtId="9" fontId="2" fillId="2" borderId="3" xfId="2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43" fontId="2" fillId="2" borderId="3" xfId="1" applyFont="1" applyFill="1" applyBorder="1" applyAlignment="1">
      <alignment horizontal="right" vertical="center"/>
    </xf>
    <xf numFmtId="43" fontId="0" fillId="0" borderId="0" xfId="1" applyFont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  <xf numFmtId="43" fontId="0" fillId="0" borderId="0" xfId="1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14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23</xdr:col>
      <xdr:colOff>220980</xdr:colOff>
      <xdr:row>68</xdr:row>
      <xdr:rowOff>114300</xdr:rowOff>
    </xdr:to>
    <xdr:sp macro="" textlink="">
      <xdr:nvSpPr>
        <xdr:cNvPr id="2" name="TextBox 1"/>
        <xdr:cNvSpPr txBox="1"/>
      </xdr:nvSpPr>
      <xdr:spPr>
        <a:xfrm>
          <a:off x="0" y="0"/>
          <a:ext cx="14394180" cy="12550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module aims to provide insights into a company’s financial health through the analysis of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liquidity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solvency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ratios. Understanding these ratios helps in evaluating a company's ability to meet short-term and long-term obligations.</a:t>
          </a:r>
        </a:p>
        <a:p>
          <a:pPr algn="just"/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Liquidity Ratios: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Definition: Liquidity ratios measure a company’s ability to cover its short-term liabilities with its short-term assets.</a:t>
          </a: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Key Liquidity Ratios:</a:t>
          </a:r>
        </a:p>
        <a:p>
          <a:pPr algn="just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Current Ratio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- Formula: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Current Ratio = Current Assets / Current Liabilities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- Interpretation: A ratio greater than 1 indicates that the company has more current assets than current liabilities, which is generally viewed as a positive sign of liquidity.</a:t>
          </a:r>
        </a:p>
        <a:p>
          <a:pPr algn="just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Quick Ratio (Acid-Test Ratio)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- Formula: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Quick Ratio = (Current Assets - Inventory) / Current Liabilities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- Interpretation: This ratio provides a more conservative view of liquidity by excluding inventory. A ratio above 1 suggests that the company can cover its liabilities without relying on the sale of inventory.</a:t>
          </a:r>
        </a:p>
        <a:p>
          <a:pPr algn="just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Cash Ratio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- Formula: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Cash Ratio = Cash and Cash Equivalents / Current Liabilities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- Interpretation: This ratio focuses exclusively on cash and cash equivalents. A ratio of 0.5 or higher is typically seen as a strong liquidity position.</a:t>
          </a:r>
        </a:p>
        <a:p>
          <a:pPr algn="just"/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Solvency Ratios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Definition: Solvency ratios measure a company's ability to meet its long-term debts and obligations, and assess its financial leverage.</a:t>
          </a: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Key Solvency Ratios:</a:t>
          </a:r>
        </a:p>
        <a:p>
          <a:pPr algn="just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Debt to Equity Ratio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- Formula: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Debt to Equity Ratio = Total Debt / Total Equity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- Interpretation: This ratio indicates the proportion of equity and debt used to finance a company's assets. A lower ratio typically suggests a more financially stable company.</a:t>
          </a:r>
        </a:p>
        <a:p>
          <a:pPr algn="just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Interest Coverage Ratio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Formula: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Interest Coverage Ratio = Earnings before Interest and Taxes (EBIT) / Interest Expenses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- Interpretation: A higher ratio indicates that a company earns significantly more than its interest obligations, which signals strong solvency. A ratio below 1.5 may indicate financial distress.</a:t>
          </a: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Debt to Assets Ratio</a:t>
          </a: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- Formula: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Debt to Assets Ratio = Total Debt / Total Assets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- Interpretation: This ratio indicates the percentage of a company's assets that are financed by debt. A lower ratio suggests better solvency.</a:t>
          </a: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Financial Modeling Tools: Explore software tools that can assist in automating ratio calculations and analyses.</a:t>
          </a: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Conclusion</a:t>
          </a: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Understanding liquidity and solvency ratios is key to assessing a company’s financial stability and risk. Regularly analyzing these ratios can provide valuable insights for investors, creditors, and management.</a:t>
          </a: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r>
            <a:rPr 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Very Important Note:</a:t>
          </a:r>
          <a:endParaRPr lang="en-US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Certainly! Below are clear and concise instructions for you on how to save the original Excel workbook to retain the formulas, while also making a separate copy to use as a template. This will help you prevent losing important formulas and ensure they have a fresh template for future use.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Compatibility Information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This Excel template is compatible with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 2013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above; please ensure that you are using an appropriate version for optimal functionality.</a:t>
          </a:r>
          <a:endParaRPr lang="en-US">
            <a:effectLst/>
          </a:endParaRPr>
        </a:p>
        <a:p>
          <a:pPr algn="just"/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ensure that you retain all formulas in your original Excel file and create a separate template for future use, please follow these steps:</a:t>
          </a:r>
        </a:p>
        <a:p>
          <a:pPr algn="just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1: Save the Original File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Open Your Excel Workbook:</a:t>
          </a: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- Ensure your workbook with all calculations and formulas is open.</a:t>
          </a: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Save the Original Copy:</a:t>
          </a: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- Click on File in the top-left corner of Excel.</a:t>
          </a: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- Select Save As from the menu.</a:t>
          </a: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- Choose a location to save your file (e.g., Desktop, Documents, etc.).</a:t>
          </a: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- In the Save as type dropdown menu, select Excel Workbook (.xlsx).</a:t>
          </a: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- Enter a file name that clearly indicates it's the original version (e.g., "FinancialRatios_Original.xlsx").</a:t>
          </a: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- Click on Save.</a:t>
          </a:r>
        </a:p>
        <a:p>
          <a:pPr algn="just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2: Create a Copy for Template Use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Make a Copy of the Original Workbook:</a:t>
          </a: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- With the original workbook still open, click on File again.</a:t>
          </a: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- Choose Save As.</a:t>
          </a:r>
        </a:p>
        <a:p>
          <a:pPr algn="just"/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-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the Save as type dropdown menu, ensure it remains as Excel Workbook (.xlsx).</a:t>
          </a: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- Change the file name to something like "FinancialRatios_Template.xlsx" or add "Template" to the original name (e.g., "FinancialRatios_Original_Template.xlsx").</a:t>
          </a: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- Click on Save.</a:t>
          </a: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Prepare the Template:</a:t>
          </a: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- In the newly created template file, consider removing or clearing specific data inputs while keeping formulas intact, making it user-friendly. </a:t>
          </a: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- For example, you can delete existing data in the cells that will be filled out by future users but retain the formula cells.</a:t>
          </a: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Protect the Template (Optional):</a:t>
          </a: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- If you wish to prevent you from altering the formulas:</a:t>
          </a: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- Go to the Review tab on the Ribbon.</a:t>
          </a: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- Click on Protect Workbook and set a password to prevent accidental changes to formulas.</a:t>
          </a: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- Alternatively, you can also choose to protect specific sheets by clicking on Protect Sheet.</a:t>
          </a:r>
        </a:p>
        <a:p>
          <a:pPr algn="just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3: Using the Template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Whenever you or another user wants to use the template:</a:t>
          </a: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- Open the FinancialRatios_Template.xlsx file.</a:t>
          </a: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- Immediately use Save As to save it as a new file (e.g., "FinancialRatios_January2024.xlsx") to create a working document without affecting the original template.</a:t>
          </a: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</a:p>
        <a:p>
          <a:pPr algn="just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4: Finish Up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Close both the original and the template files to finish your session.</a:t>
          </a: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Always remember to save any changes if you edit the template itself.</a:t>
          </a: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By following these instructions, you can effectively preserve the original Excel workbook's formulas while creating a standalone template for future financial analyses.</a:t>
          </a:r>
        </a:p>
        <a:p>
          <a:pPr algn="just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Additional Note: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Make sure to regularly back up your files to avoid unintentional loss of data or formulas.</a:t>
          </a:r>
        </a:p>
        <a:p>
          <a:pPr algn="just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workbookViewId="0">
      <selection activeCell="P70" sqref="P70"/>
    </sheetView>
  </sheetViews>
  <sheetFormatPr defaultRowHeight="14.4" x14ac:dyDescent="0.3"/>
  <cols>
    <col min="23" max="23" width="11.109375" customWidth="1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1"/>
  <sheetViews>
    <sheetView showGridLines="0" zoomScale="110" zoomScaleNormal="11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5" sqref="D5"/>
    </sheetView>
  </sheetViews>
  <sheetFormatPr defaultRowHeight="14.4" x14ac:dyDescent="0.3"/>
  <cols>
    <col min="1" max="1" width="3.77734375" customWidth="1"/>
    <col min="2" max="2" width="27.33203125" bestFit="1" customWidth="1"/>
    <col min="3" max="3" width="15.44140625" bestFit="1" customWidth="1"/>
    <col min="4" max="4" width="48" bestFit="1" customWidth="1"/>
    <col min="5" max="8" width="14.109375" style="10" bestFit="1" customWidth="1"/>
  </cols>
  <sheetData>
    <row r="1" spans="2:8" ht="15" thickBot="1" x14ac:dyDescent="0.35"/>
    <row r="2" spans="2:8" x14ac:dyDescent="0.3">
      <c r="B2" s="15" t="s">
        <v>64</v>
      </c>
      <c r="C2" s="16" t="s">
        <v>70</v>
      </c>
      <c r="D2" s="15" t="s">
        <v>73</v>
      </c>
      <c r="E2" s="17" t="s">
        <v>71</v>
      </c>
      <c r="F2" s="17" t="s">
        <v>72</v>
      </c>
      <c r="G2" s="18" t="s">
        <v>71</v>
      </c>
      <c r="H2" s="18" t="s">
        <v>72</v>
      </c>
    </row>
    <row r="3" spans="2:8" x14ac:dyDescent="0.3">
      <c r="B3" s="12" t="s">
        <v>54</v>
      </c>
      <c r="C3" s="12" t="s">
        <v>17</v>
      </c>
      <c r="D3" s="12"/>
      <c r="E3" s="13">
        <f>2000000+1500000+250000</f>
        <v>3750000</v>
      </c>
      <c r="F3" s="13">
        <f>1500000+250000+100000+200000+50000+260000+350000+208800</f>
        <v>2918800</v>
      </c>
      <c r="G3" s="14">
        <f>E3-F3</f>
        <v>831200</v>
      </c>
      <c r="H3" s="14"/>
    </row>
    <row r="4" spans="2:8" x14ac:dyDescent="0.3">
      <c r="B4" s="12" t="s">
        <v>55</v>
      </c>
      <c r="C4" s="12" t="s">
        <v>17</v>
      </c>
      <c r="D4" s="12" t="s">
        <v>95</v>
      </c>
      <c r="E4" s="13">
        <v>200000</v>
      </c>
      <c r="F4" s="13"/>
      <c r="G4" s="14">
        <f t="shared" ref="G4:G12" si="0">E4-F4</f>
        <v>200000</v>
      </c>
      <c r="H4" s="14"/>
    </row>
    <row r="5" spans="2:8" x14ac:dyDescent="0.3">
      <c r="B5" s="12" t="s">
        <v>56</v>
      </c>
      <c r="C5" s="12" t="s">
        <v>17</v>
      </c>
      <c r="D5" s="12" t="s">
        <v>96</v>
      </c>
      <c r="E5" s="13">
        <v>5000000</v>
      </c>
      <c r="F5" s="13">
        <v>3750000</v>
      </c>
      <c r="G5" s="14">
        <f t="shared" si="0"/>
        <v>1250000</v>
      </c>
      <c r="H5" s="14"/>
    </row>
    <row r="6" spans="2:8" x14ac:dyDescent="0.3">
      <c r="B6" s="12" t="s">
        <v>57</v>
      </c>
      <c r="C6" s="12" t="s">
        <v>17</v>
      </c>
      <c r="D6" s="12"/>
      <c r="E6" s="13">
        <v>50000</v>
      </c>
      <c r="F6" s="13"/>
      <c r="G6" s="14">
        <f t="shared" si="0"/>
        <v>50000</v>
      </c>
      <c r="H6" s="14"/>
    </row>
    <row r="7" spans="2:8" x14ac:dyDescent="0.3">
      <c r="B7" s="12" t="s">
        <v>58</v>
      </c>
      <c r="C7" s="12" t="s">
        <v>17</v>
      </c>
      <c r="D7" s="12" t="s">
        <v>94</v>
      </c>
      <c r="E7" s="13">
        <f>3000000+2500000</f>
        <v>5500000</v>
      </c>
      <c r="F7" s="13">
        <v>3500000</v>
      </c>
      <c r="G7" s="14">
        <f t="shared" si="0"/>
        <v>2000000</v>
      </c>
      <c r="H7" s="14"/>
    </row>
    <row r="8" spans="2:8" x14ac:dyDescent="0.3">
      <c r="B8" s="12" t="s">
        <v>59</v>
      </c>
      <c r="C8" s="12" t="s">
        <v>17</v>
      </c>
      <c r="D8" s="12"/>
      <c r="E8" s="13">
        <v>100000</v>
      </c>
      <c r="F8" s="13"/>
      <c r="G8" s="14">
        <f t="shared" si="0"/>
        <v>100000</v>
      </c>
      <c r="H8" s="14"/>
    </row>
    <row r="9" spans="2:8" x14ac:dyDescent="0.3">
      <c r="B9" s="12" t="s">
        <v>60</v>
      </c>
      <c r="C9" s="12" t="s">
        <v>17</v>
      </c>
      <c r="D9" s="12"/>
      <c r="E9" s="13">
        <v>350000</v>
      </c>
      <c r="F9" s="13"/>
      <c r="G9" s="14">
        <f t="shared" si="0"/>
        <v>350000</v>
      </c>
      <c r="H9" s="14"/>
    </row>
    <row r="10" spans="2:8" x14ac:dyDescent="0.3">
      <c r="B10" s="12" t="s">
        <v>61</v>
      </c>
      <c r="C10" s="12" t="s">
        <v>17</v>
      </c>
      <c r="D10" s="12"/>
      <c r="E10" s="13">
        <f>310000</f>
        <v>310000</v>
      </c>
      <c r="F10" s="13">
        <v>0</v>
      </c>
      <c r="G10" s="14">
        <f t="shared" si="0"/>
        <v>310000</v>
      </c>
      <c r="H10" s="14"/>
    </row>
    <row r="11" spans="2:8" x14ac:dyDescent="0.3">
      <c r="B11" s="12" t="s">
        <v>102</v>
      </c>
      <c r="C11" s="12" t="s">
        <v>17</v>
      </c>
      <c r="D11" s="12"/>
      <c r="E11" s="13">
        <v>0</v>
      </c>
      <c r="F11" s="13">
        <v>62000</v>
      </c>
      <c r="G11" s="14">
        <v>0</v>
      </c>
      <c r="H11" s="14">
        <f>F11-E110</f>
        <v>62000</v>
      </c>
    </row>
    <row r="12" spans="2:8" x14ac:dyDescent="0.3">
      <c r="B12" s="12" t="s">
        <v>62</v>
      </c>
      <c r="C12" s="12" t="s">
        <v>17</v>
      </c>
      <c r="D12" s="12"/>
      <c r="E12" s="13">
        <v>0</v>
      </c>
      <c r="F12" s="13"/>
      <c r="G12" s="14">
        <f t="shared" si="0"/>
        <v>0</v>
      </c>
      <c r="H12" s="14"/>
    </row>
    <row r="13" spans="2:8" x14ac:dyDescent="0.3">
      <c r="B13" s="12" t="s">
        <v>63</v>
      </c>
      <c r="C13" s="12" t="s">
        <v>65</v>
      </c>
      <c r="D13" s="12"/>
      <c r="E13" s="13">
        <v>1500000</v>
      </c>
      <c r="F13" s="13">
        <v>2500000</v>
      </c>
      <c r="G13" s="14"/>
      <c r="H13" s="14">
        <f>F13-E13</f>
        <v>1000000</v>
      </c>
    </row>
    <row r="14" spans="2:8" x14ac:dyDescent="0.3">
      <c r="B14" s="12" t="s">
        <v>30</v>
      </c>
      <c r="C14" s="12" t="s">
        <v>65</v>
      </c>
      <c r="D14" s="12"/>
      <c r="E14" s="13"/>
      <c r="F14" s="13"/>
      <c r="G14" s="14"/>
      <c r="H14" s="14">
        <f t="shared" ref="H14:H26" si="1">F14-E14</f>
        <v>0</v>
      </c>
    </row>
    <row r="15" spans="2:8" x14ac:dyDescent="0.3">
      <c r="B15" s="12" t="s">
        <v>31</v>
      </c>
      <c r="C15" s="12" t="s">
        <v>65</v>
      </c>
      <c r="D15" s="12"/>
      <c r="E15" s="13"/>
      <c r="F15" s="13"/>
      <c r="G15" s="14"/>
      <c r="H15" s="14">
        <f t="shared" si="1"/>
        <v>0</v>
      </c>
    </row>
    <row r="16" spans="2:8" x14ac:dyDescent="0.3">
      <c r="B16" s="12" t="s">
        <v>32</v>
      </c>
      <c r="C16" s="12" t="s">
        <v>65</v>
      </c>
      <c r="D16" s="12"/>
      <c r="E16" s="13"/>
      <c r="F16" s="13"/>
      <c r="G16" s="14"/>
      <c r="H16" s="14">
        <f t="shared" si="1"/>
        <v>0</v>
      </c>
    </row>
    <row r="17" spans="2:8" x14ac:dyDescent="0.3">
      <c r="B17" s="12" t="s">
        <v>33</v>
      </c>
      <c r="C17" s="12" t="s">
        <v>65</v>
      </c>
      <c r="D17" s="12"/>
      <c r="E17" s="13"/>
      <c r="F17" s="13">
        <f>12000*12</f>
        <v>144000</v>
      </c>
      <c r="G17" s="14"/>
      <c r="H17" s="14">
        <f t="shared" si="1"/>
        <v>144000</v>
      </c>
    </row>
    <row r="18" spans="2:8" x14ac:dyDescent="0.3">
      <c r="B18" s="12" t="s">
        <v>34</v>
      </c>
      <c r="C18" s="12" t="s">
        <v>65</v>
      </c>
      <c r="D18" s="12" t="s">
        <v>99</v>
      </c>
      <c r="E18" s="13">
        <f>417600/2</f>
        <v>208800</v>
      </c>
      <c r="F18" s="13">
        <f>'Liquidity &amp; Solvency Ratios'!C58</f>
        <v>417600</v>
      </c>
      <c r="G18" s="14"/>
      <c r="H18" s="14">
        <f t="shared" si="1"/>
        <v>208800</v>
      </c>
    </row>
    <row r="19" spans="2:8" x14ac:dyDescent="0.3">
      <c r="B19" s="12" t="s">
        <v>29</v>
      </c>
      <c r="C19" s="12" t="s">
        <v>65</v>
      </c>
      <c r="D19" s="12"/>
      <c r="E19" s="13"/>
      <c r="F19" s="13"/>
      <c r="G19" s="14"/>
      <c r="H19" s="14">
        <f t="shared" si="1"/>
        <v>0</v>
      </c>
    </row>
    <row r="20" spans="2:8" x14ac:dyDescent="0.3">
      <c r="B20" s="12" t="s">
        <v>20</v>
      </c>
      <c r="C20" s="12" t="s">
        <v>65</v>
      </c>
      <c r="D20" s="12"/>
      <c r="E20" s="13"/>
      <c r="F20" s="13"/>
      <c r="G20" s="14"/>
      <c r="H20" s="14">
        <f t="shared" si="1"/>
        <v>0</v>
      </c>
    </row>
    <row r="21" spans="2:8" x14ac:dyDescent="0.3">
      <c r="B21" s="12" t="s">
        <v>22</v>
      </c>
      <c r="C21" s="12" t="s">
        <v>65</v>
      </c>
      <c r="D21" s="12"/>
      <c r="E21" s="13"/>
      <c r="F21" s="13"/>
      <c r="G21" s="14"/>
      <c r="H21" s="14">
        <f t="shared" si="1"/>
        <v>0</v>
      </c>
    </row>
    <row r="22" spans="2:8" x14ac:dyDescent="0.3">
      <c r="B22" s="12" t="s">
        <v>23</v>
      </c>
      <c r="C22" s="12" t="s">
        <v>65</v>
      </c>
      <c r="D22" s="12"/>
      <c r="E22" s="13"/>
      <c r="F22" s="13"/>
      <c r="G22" s="14"/>
      <c r="H22" s="14">
        <f t="shared" si="1"/>
        <v>0</v>
      </c>
    </row>
    <row r="23" spans="2:8" x14ac:dyDescent="0.3">
      <c r="B23" s="12" t="s">
        <v>44</v>
      </c>
      <c r="C23" s="12" t="s">
        <v>66</v>
      </c>
      <c r="D23" s="12" t="s">
        <v>90</v>
      </c>
      <c r="E23" s="13"/>
      <c r="F23" s="13">
        <f>100000*30</f>
        <v>3000000</v>
      </c>
      <c r="G23" s="14"/>
      <c r="H23" s="14">
        <f t="shared" si="1"/>
        <v>3000000</v>
      </c>
    </row>
    <row r="24" spans="2:8" x14ac:dyDescent="0.3">
      <c r="B24" s="12" t="s">
        <v>45</v>
      </c>
      <c r="C24" s="12" t="s">
        <v>66</v>
      </c>
      <c r="D24" s="12" t="s">
        <v>91</v>
      </c>
      <c r="E24" s="13"/>
      <c r="F24" s="13">
        <f>50000*1</f>
        <v>50000</v>
      </c>
      <c r="G24" s="14"/>
      <c r="H24" s="14">
        <f t="shared" si="1"/>
        <v>50000</v>
      </c>
    </row>
    <row r="25" spans="2:8" x14ac:dyDescent="0.3">
      <c r="B25" s="12" t="s">
        <v>46</v>
      </c>
      <c r="C25" s="12" t="s">
        <v>66</v>
      </c>
      <c r="D25" s="12"/>
      <c r="E25" s="13"/>
      <c r="F25" s="13"/>
      <c r="G25" s="14"/>
      <c r="H25" s="14">
        <f t="shared" si="1"/>
        <v>0</v>
      </c>
    </row>
    <row r="26" spans="2:8" x14ac:dyDescent="0.3">
      <c r="B26" s="12" t="s">
        <v>47</v>
      </c>
      <c r="C26" s="12" t="s">
        <v>66</v>
      </c>
      <c r="D26" s="12"/>
      <c r="E26" s="13"/>
      <c r="F26" s="13"/>
      <c r="G26" s="14"/>
      <c r="H26" s="14">
        <f t="shared" si="1"/>
        <v>0</v>
      </c>
    </row>
    <row r="27" spans="2:8" x14ac:dyDescent="0.3">
      <c r="B27" s="12" t="s">
        <v>67</v>
      </c>
      <c r="C27" s="12" t="s">
        <v>68</v>
      </c>
      <c r="D27" s="12"/>
      <c r="E27" s="13"/>
      <c r="F27" s="13">
        <v>5000000</v>
      </c>
      <c r="G27" s="14"/>
      <c r="H27" s="14">
        <f>F27-E27</f>
        <v>5000000</v>
      </c>
    </row>
    <row r="28" spans="2:8" x14ac:dyDescent="0.3">
      <c r="B28" s="12" t="s">
        <v>77</v>
      </c>
      <c r="C28" s="12" t="s">
        <v>69</v>
      </c>
      <c r="D28" s="12" t="s">
        <v>97</v>
      </c>
      <c r="E28" s="13">
        <v>3500000</v>
      </c>
      <c r="F28" s="13"/>
      <c r="G28" s="14">
        <f>E28-F28</f>
        <v>3500000</v>
      </c>
      <c r="H28" s="14"/>
    </row>
    <row r="29" spans="2:8" x14ac:dyDescent="0.3">
      <c r="B29" s="12" t="s">
        <v>79</v>
      </c>
      <c r="C29" s="12" t="s">
        <v>69</v>
      </c>
      <c r="D29" s="12"/>
      <c r="E29" s="13">
        <f>12000*12</f>
        <v>144000</v>
      </c>
      <c r="F29" s="13"/>
      <c r="G29" s="14">
        <f t="shared" ref="G29:G31" si="2">E29-F29</f>
        <v>144000</v>
      </c>
      <c r="H29" s="14"/>
    </row>
    <row r="30" spans="2:8" x14ac:dyDescent="0.3">
      <c r="B30" s="12" t="s">
        <v>81</v>
      </c>
      <c r="C30" s="12" t="s">
        <v>69</v>
      </c>
      <c r="D30" s="12" t="s">
        <v>93</v>
      </c>
      <c r="E30" s="13">
        <v>250000</v>
      </c>
      <c r="F30" s="13"/>
      <c r="G30" s="14">
        <f t="shared" si="2"/>
        <v>250000</v>
      </c>
      <c r="H30" s="14"/>
    </row>
    <row r="31" spans="2:8" x14ac:dyDescent="0.3">
      <c r="B31" s="12" t="s">
        <v>82</v>
      </c>
      <c r="C31" s="12" t="s">
        <v>69</v>
      </c>
      <c r="D31" s="12"/>
      <c r="E31" s="13">
        <v>62000</v>
      </c>
      <c r="F31" s="13"/>
      <c r="G31" s="14">
        <f t="shared" si="2"/>
        <v>62000</v>
      </c>
      <c r="H31" s="14"/>
    </row>
    <row r="32" spans="2:8" x14ac:dyDescent="0.3">
      <c r="B32" s="12" t="s">
        <v>83</v>
      </c>
      <c r="C32" s="12" t="s">
        <v>69</v>
      </c>
      <c r="D32" s="12"/>
      <c r="E32" s="13"/>
      <c r="F32" s="13"/>
      <c r="G32" s="14"/>
      <c r="H32" s="14">
        <f>F32-E32</f>
        <v>0</v>
      </c>
    </row>
    <row r="33" spans="2:8" x14ac:dyDescent="0.3">
      <c r="B33" s="12" t="s">
        <v>80</v>
      </c>
      <c r="C33" s="12" t="s">
        <v>69</v>
      </c>
      <c r="D33" s="12"/>
      <c r="E33" s="13"/>
      <c r="F33" s="13"/>
      <c r="G33" s="14">
        <f>E33-F33</f>
        <v>0</v>
      </c>
      <c r="H33" s="14"/>
    </row>
    <row r="34" spans="2:8" x14ac:dyDescent="0.3">
      <c r="B34" s="12" t="s">
        <v>88</v>
      </c>
      <c r="C34" s="12" t="s">
        <v>68</v>
      </c>
      <c r="D34" s="12"/>
      <c r="E34" s="13"/>
      <c r="F34" s="13"/>
      <c r="G34" s="14"/>
      <c r="H34" s="14">
        <f>F34-E34</f>
        <v>0</v>
      </c>
    </row>
    <row r="35" spans="2:8" x14ac:dyDescent="0.3">
      <c r="B35" s="12" t="s">
        <v>89</v>
      </c>
      <c r="C35" s="12" t="s">
        <v>69</v>
      </c>
      <c r="D35" s="12"/>
      <c r="E35" s="13"/>
      <c r="F35" s="13"/>
      <c r="G35" s="14">
        <f>E35-F35</f>
        <v>0</v>
      </c>
      <c r="H35" s="14"/>
    </row>
    <row r="36" spans="2:8" ht="15" thickBot="1" x14ac:dyDescent="0.35">
      <c r="B36" s="12" t="s">
        <v>86</v>
      </c>
      <c r="C36" s="12" t="s">
        <v>69</v>
      </c>
      <c r="D36" s="20"/>
      <c r="E36" s="13">
        <f>'Liquidity &amp; Solvency Ratios'!C58</f>
        <v>417600</v>
      </c>
      <c r="F36" s="13"/>
      <c r="G36" s="14">
        <f>E36-F36</f>
        <v>417600</v>
      </c>
      <c r="H36" s="14"/>
    </row>
    <row r="37" spans="2:8" ht="15" thickBot="1" x14ac:dyDescent="0.35">
      <c r="B37" s="19" t="s">
        <v>92</v>
      </c>
      <c r="C37" s="19"/>
      <c r="D37" s="19"/>
      <c r="E37" s="11">
        <f>SUM(E3:E36)</f>
        <v>21342400</v>
      </c>
      <c r="F37" s="11">
        <f t="shared" ref="F37:H37" si="3">SUM(F3:F36)</f>
        <v>21342400</v>
      </c>
      <c r="G37" s="11">
        <f t="shared" si="3"/>
        <v>9464800</v>
      </c>
      <c r="H37" s="11">
        <f t="shared" si="3"/>
        <v>9464800</v>
      </c>
    </row>
    <row r="38" spans="2:8" ht="15" thickTop="1" x14ac:dyDescent="0.3">
      <c r="E38" s="82" t="b">
        <f>IF(E37-F37&lt;&gt;0, FALSE,TRUE)</f>
        <v>1</v>
      </c>
      <c r="F38" s="82"/>
      <c r="G38" s="82" t="b">
        <f>IF(G37-H37&lt;&gt;0, FALSE,TRUE)</f>
        <v>1</v>
      </c>
      <c r="H38" s="82"/>
    </row>
    <row r="41" spans="2:8" x14ac:dyDescent="0.3">
      <c r="H41" s="10">
        <f>G37-H37</f>
        <v>0</v>
      </c>
    </row>
  </sheetData>
  <mergeCells count="2">
    <mergeCell ref="E38:F38"/>
    <mergeCell ref="G38:H38"/>
  </mergeCells>
  <conditionalFormatting sqref="E38:H38">
    <cfRule type="cellIs" dxfId="13" priority="1" operator="equal">
      <formula>FALSE</formula>
    </cfRule>
    <cfRule type="cellIs" dxfId="12" priority="2" operator="equal">
      <formula>TRUE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8"/>
  <sheetViews>
    <sheetView showGridLines="0" zoomScale="110" zoomScaleNormal="11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4" sqref="D4"/>
    </sheetView>
  </sheetViews>
  <sheetFormatPr defaultRowHeight="14.4" x14ac:dyDescent="0.3"/>
  <cols>
    <col min="1" max="1" width="3.77734375" customWidth="1"/>
    <col min="2" max="2" width="27.33203125" bestFit="1" customWidth="1"/>
    <col min="3" max="3" width="15.44140625" bestFit="1" customWidth="1"/>
    <col min="4" max="4" width="48" bestFit="1" customWidth="1"/>
    <col min="5" max="5" width="14.109375" style="10" bestFit="1" customWidth="1"/>
    <col min="6" max="6" width="14.88671875" style="10" bestFit="1" customWidth="1"/>
    <col min="7" max="8" width="14.109375" style="10" bestFit="1" customWidth="1"/>
  </cols>
  <sheetData>
    <row r="1" spans="2:8" ht="15" thickBot="1" x14ac:dyDescent="0.35"/>
    <row r="2" spans="2:8" x14ac:dyDescent="0.3">
      <c r="B2" s="15" t="s">
        <v>64</v>
      </c>
      <c r="C2" s="16" t="s">
        <v>70</v>
      </c>
      <c r="D2" s="15" t="s">
        <v>73</v>
      </c>
      <c r="E2" s="17" t="s">
        <v>71</v>
      </c>
      <c r="F2" s="17" t="s">
        <v>72</v>
      </c>
      <c r="G2" s="24" t="s">
        <v>71</v>
      </c>
      <c r="H2" s="24" t="s">
        <v>72</v>
      </c>
    </row>
    <row r="3" spans="2:8" x14ac:dyDescent="0.3">
      <c r="B3" s="12" t="s">
        <v>54</v>
      </c>
      <c r="C3" s="12" t="s">
        <v>17</v>
      </c>
      <c r="D3" s="12"/>
      <c r="E3" s="13">
        <f>831200+500000+3880000+250000+30000</f>
        <v>5491200</v>
      </c>
      <c r="F3" s="13">
        <f>12000*12+5000+1000000+2080000+350000+75000+600000</f>
        <v>4254000</v>
      </c>
      <c r="G3" s="14">
        <f>E3-F3</f>
        <v>1237200</v>
      </c>
      <c r="H3" s="14"/>
    </row>
    <row r="4" spans="2:8" x14ac:dyDescent="0.3">
      <c r="B4" s="12" t="s">
        <v>55</v>
      </c>
      <c r="C4" s="12" t="s">
        <v>17</v>
      </c>
      <c r="D4" s="12"/>
      <c r="E4" s="13">
        <f>200000+75000</f>
        <v>275000</v>
      </c>
      <c r="F4" s="13"/>
      <c r="G4" s="14">
        <f t="shared" ref="G4:G12" si="0">E4-F4</f>
        <v>275000</v>
      </c>
      <c r="H4" s="14"/>
    </row>
    <row r="5" spans="2:8" x14ac:dyDescent="0.3">
      <c r="B5" s="12" t="s">
        <v>56</v>
      </c>
      <c r="C5" s="12" t="s">
        <v>17</v>
      </c>
      <c r="D5" s="12"/>
      <c r="E5" s="13">
        <f>1250000+6000000+800000</f>
        <v>8050000</v>
      </c>
      <c r="F5" s="13">
        <v>3880000</v>
      </c>
      <c r="G5" s="14">
        <f t="shared" si="0"/>
        <v>4170000</v>
      </c>
      <c r="H5" s="14"/>
    </row>
    <row r="6" spans="2:8" x14ac:dyDescent="0.3">
      <c r="B6" s="12" t="s">
        <v>57</v>
      </c>
      <c r="C6" s="12" t="s">
        <v>17</v>
      </c>
      <c r="D6" s="12"/>
      <c r="E6" s="13">
        <v>50000</v>
      </c>
      <c r="F6" s="13">
        <v>30000</v>
      </c>
      <c r="G6" s="14">
        <f t="shared" si="0"/>
        <v>20000</v>
      </c>
      <c r="H6" s="14"/>
    </row>
    <row r="7" spans="2:8" x14ac:dyDescent="0.3">
      <c r="B7" s="12" t="s">
        <v>58</v>
      </c>
      <c r="C7" s="12" t="s">
        <v>17</v>
      </c>
      <c r="D7" s="12"/>
      <c r="E7" s="13">
        <f>2000000+4200000+350000</f>
        <v>6550000</v>
      </c>
      <c r="F7" s="13">
        <f>4200000+560000</f>
        <v>4760000</v>
      </c>
      <c r="G7" s="14">
        <f t="shared" si="0"/>
        <v>1790000</v>
      </c>
      <c r="H7" s="14"/>
    </row>
    <row r="8" spans="2:8" x14ac:dyDescent="0.3">
      <c r="B8" s="12" t="s">
        <v>59</v>
      </c>
      <c r="C8" s="12" t="s">
        <v>17</v>
      </c>
      <c r="D8" s="12"/>
      <c r="E8" s="13">
        <v>100000</v>
      </c>
      <c r="F8" s="13">
        <v>70000</v>
      </c>
      <c r="G8" s="14">
        <f t="shared" si="0"/>
        <v>30000</v>
      </c>
      <c r="H8" s="14"/>
    </row>
    <row r="9" spans="2:8" x14ac:dyDescent="0.3">
      <c r="B9" s="12" t="s">
        <v>60</v>
      </c>
      <c r="C9" s="12" t="s">
        <v>17</v>
      </c>
      <c r="D9" s="12"/>
      <c r="E9" s="13">
        <v>350000</v>
      </c>
      <c r="F9" s="13">
        <v>0</v>
      </c>
      <c r="G9" s="14">
        <f t="shared" si="0"/>
        <v>350000</v>
      </c>
      <c r="H9" s="14"/>
    </row>
    <row r="10" spans="2:8" x14ac:dyDescent="0.3">
      <c r="B10" s="12" t="s">
        <v>61</v>
      </c>
      <c r="C10" s="12" t="s">
        <v>17</v>
      </c>
      <c r="D10" s="12"/>
      <c r="E10" s="13">
        <v>310000</v>
      </c>
      <c r="F10" s="13"/>
      <c r="G10" s="14">
        <f t="shared" si="0"/>
        <v>310000</v>
      </c>
      <c r="H10" s="14"/>
    </row>
    <row r="11" spans="2:8" x14ac:dyDescent="0.3">
      <c r="B11" s="12" t="s">
        <v>102</v>
      </c>
      <c r="C11" s="12" t="s">
        <v>17</v>
      </c>
      <c r="D11" s="12"/>
      <c r="E11" s="13"/>
      <c r="F11" s="13">
        <f>62000+62000</f>
        <v>124000</v>
      </c>
      <c r="G11" s="14"/>
      <c r="H11" s="14">
        <f>F11-E11</f>
        <v>124000</v>
      </c>
    </row>
    <row r="12" spans="2:8" x14ac:dyDescent="0.3">
      <c r="B12" s="12" t="s">
        <v>62</v>
      </c>
      <c r="C12" s="12" t="s">
        <v>17</v>
      </c>
      <c r="D12" s="12"/>
      <c r="E12" s="13">
        <v>0</v>
      </c>
      <c r="F12" s="13"/>
      <c r="G12" s="14">
        <f t="shared" si="0"/>
        <v>0</v>
      </c>
      <c r="H12" s="14"/>
    </row>
    <row r="13" spans="2:8" x14ac:dyDescent="0.3">
      <c r="B13" s="12" t="s">
        <v>63</v>
      </c>
      <c r="C13" s="12" t="s">
        <v>65</v>
      </c>
      <c r="D13" s="12"/>
      <c r="E13" s="13">
        <f>2080000+70000</f>
        <v>2150000</v>
      </c>
      <c r="F13" s="13">
        <f>1000000+4200000</f>
        <v>5200000</v>
      </c>
      <c r="G13" s="14"/>
      <c r="H13" s="14">
        <f>F13-E13</f>
        <v>3050000</v>
      </c>
    </row>
    <row r="14" spans="2:8" x14ac:dyDescent="0.3">
      <c r="B14" s="12" t="s">
        <v>30</v>
      </c>
      <c r="C14" s="12" t="s">
        <v>65</v>
      </c>
      <c r="D14" s="12"/>
      <c r="E14" s="13"/>
      <c r="F14" s="13">
        <v>0</v>
      </c>
      <c r="G14" s="14"/>
      <c r="H14" s="14">
        <f t="shared" ref="H14:H26" si="1">F14-E14</f>
        <v>0</v>
      </c>
    </row>
    <row r="15" spans="2:8" x14ac:dyDescent="0.3">
      <c r="B15" s="12" t="s">
        <v>31</v>
      </c>
      <c r="C15" s="12" t="s">
        <v>65</v>
      </c>
      <c r="D15" s="12"/>
      <c r="E15" s="13"/>
      <c r="F15" s="13">
        <v>0</v>
      </c>
      <c r="G15" s="14"/>
      <c r="H15" s="14">
        <f t="shared" si="1"/>
        <v>0</v>
      </c>
    </row>
    <row r="16" spans="2:8" x14ac:dyDescent="0.3">
      <c r="B16" s="12" t="s">
        <v>32</v>
      </c>
      <c r="C16" s="12" t="s">
        <v>65</v>
      </c>
      <c r="D16" s="12"/>
      <c r="E16" s="13"/>
      <c r="F16" s="13">
        <v>0</v>
      </c>
      <c r="G16" s="14"/>
      <c r="H16" s="14">
        <f t="shared" si="1"/>
        <v>0</v>
      </c>
    </row>
    <row r="17" spans="2:8" x14ac:dyDescent="0.3">
      <c r="B17" s="12" t="s">
        <v>33</v>
      </c>
      <c r="C17" s="12" t="s">
        <v>65</v>
      </c>
      <c r="D17" s="12"/>
      <c r="E17" s="13"/>
      <c r="F17" s="13">
        <v>144000</v>
      </c>
      <c r="G17" s="14"/>
      <c r="H17" s="14">
        <f t="shared" si="1"/>
        <v>144000</v>
      </c>
    </row>
    <row r="18" spans="2:8" x14ac:dyDescent="0.3">
      <c r="B18" s="12" t="s">
        <v>34</v>
      </c>
      <c r="C18" s="12" t="s">
        <v>65</v>
      </c>
      <c r="D18" s="12"/>
      <c r="E18" s="13">
        <v>600000</v>
      </c>
      <c r="F18" s="13">
        <f>208800+631600</f>
        <v>840400</v>
      </c>
      <c r="G18" s="14"/>
      <c r="H18" s="14">
        <f t="shared" si="1"/>
        <v>240400</v>
      </c>
    </row>
    <row r="19" spans="2:8" x14ac:dyDescent="0.3">
      <c r="B19" s="12" t="s">
        <v>29</v>
      </c>
      <c r="C19" s="12" t="s">
        <v>65</v>
      </c>
      <c r="D19" s="12"/>
      <c r="E19" s="13"/>
      <c r="F19" s="13">
        <v>0</v>
      </c>
      <c r="G19" s="14"/>
      <c r="H19" s="14">
        <f t="shared" si="1"/>
        <v>0</v>
      </c>
    </row>
    <row r="20" spans="2:8" x14ac:dyDescent="0.3">
      <c r="B20" s="12" t="s">
        <v>20</v>
      </c>
      <c r="C20" s="12" t="s">
        <v>65</v>
      </c>
      <c r="D20" s="12"/>
      <c r="E20" s="13"/>
      <c r="F20" s="13">
        <v>0</v>
      </c>
      <c r="G20" s="14"/>
      <c r="H20" s="14">
        <f t="shared" si="1"/>
        <v>0</v>
      </c>
    </row>
    <row r="21" spans="2:8" x14ac:dyDescent="0.3">
      <c r="B21" s="12" t="s">
        <v>22</v>
      </c>
      <c r="C21" s="12" t="s">
        <v>65</v>
      </c>
      <c r="D21" s="12"/>
      <c r="E21" s="13"/>
      <c r="F21" s="13">
        <v>0</v>
      </c>
      <c r="G21" s="14"/>
      <c r="H21" s="14">
        <f t="shared" si="1"/>
        <v>0</v>
      </c>
    </row>
    <row r="22" spans="2:8" x14ac:dyDescent="0.3">
      <c r="B22" s="12" t="s">
        <v>23</v>
      </c>
      <c r="C22" s="12" t="s">
        <v>65</v>
      </c>
      <c r="D22" s="12"/>
      <c r="E22" s="13"/>
      <c r="F22" s="13">
        <v>0</v>
      </c>
      <c r="G22" s="14"/>
      <c r="H22" s="14">
        <f t="shared" si="1"/>
        <v>0</v>
      </c>
    </row>
    <row r="23" spans="2:8" x14ac:dyDescent="0.3">
      <c r="B23" s="12" t="s">
        <v>44</v>
      </c>
      <c r="C23" s="12" t="s">
        <v>66</v>
      </c>
      <c r="D23" s="12" t="s">
        <v>90</v>
      </c>
      <c r="E23" s="13"/>
      <c r="F23" s="13">
        <v>3000000</v>
      </c>
      <c r="G23" s="14"/>
      <c r="H23" s="14">
        <f t="shared" si="1"/>
        <v>3000000</v>
      </c>
    </row>
    <row r="24" spans="2:8" x14ac:dyDescent="0.3">
      <c r="B24" s="12" t="s">
        <v>45</v>
      </c>
      <c r="C24" s="12" t="s">
        <v>66</v>
      </c>
      <c r="D24" s="12" t="s">
        <v>91</v>
      </c>
      <c r="E24" s="13"/>
      <c r="F24" s="13">
        <v>50000</v>
      </c>
      <c r="G24" s="14"/>
      <c r="H24" s="14">
        <f t="shared" si="1"/>
        <v>50000</v>
      </c>
    </row>
    <row r="25" spans="2:8" x14ac:dyDescent="0.3">
      <c r="B25" s="12" t="s">
        <v>46</v>
      </c>
      <c r="C25" s="12" t="s">
        <v>66</v>
      </c>
      <c r="D25" s="12"/>
      <c r="E25" s="13"/>
      <c r="F25" s="13">
        <v>0</v>
      </c>
      <c r="G25" s="14"/>
      <c r="H25" s="14">
        <f t="shared" si="1"/>
        <v>0</v>
      </c>
    </row>
    <row r="26" spans="2:8" x14ac:dyDescent="0.3">
      <c r="B26" s="12" t="s">
        <v>47</v>
      </c>
      <c r="C26" s="12" t="s">
        <v>66</v>
      </c>
      <c r="D26" s="12"/>
      <c r="E26" s="13"/>
      <c r="F26" s="13">
        <v>626400</v>
      </c>
      <c r="G26" s="14"/>
      <c r="H26" s="14">
        <f t="shared" si="1"/>
        <v>626400</v>
      </c>
    </row>
    <row r="27" spans="2:8" x14ac:dyDescent="0.3">
      <c r="B27" s="12" t="s">
        <v>67</v>
      </c>
      <c r="C27" s="12" t="s">
        <v>68</v>
      </c>
      <c r="D27" s="12"/>
      <c r="E27" s="13"/>
      <c r="F27" s="13">
        <f>6000000+800000</f>
        <v>6800000</v>
      </c>
      <c r="G27" s="14"/>
      <c r="H27" s="14">
        <f>F27-E27</f>
        <v>6800000</v>
      </c>
    </row>
    <row r="28" spans="2:8" x14ac:dyDescent="0.3">
      <c r="B28" s="12" t="s">
        <v>77</v>
      </c>
      <c r="C28" s="12" t="s">
        <v>69</v>
      </c>
      <c r="D28" s="12"/>
      <c r="E28" s="13">
        <f>4200000+560000</f>
        <v>4760000</v>
      </c>
      <c r="F28" s="13"/>
      <c r="G28" s="14">
        <f>E28-F28</f>
        <v>4760000</v>
      </c>
      <c r="H28" s="14"/>
    </row>
    <row r="29" spans="2:8" x14ac:dyDescent="0.3">
      <c r="B29" s="12" t="s">
        <v>79</v>
      </c>
      <c r="C29" s="12" t="s">
        <v>69</v>
      </c>
      <c r="D29" s="12"/>
      <c r="E29" s="13">
        <f>12000*12</f>
        <v>144000</v>
      </c>
      <c r="F29" s="13"/>
      <c r="G29" s="14">
        <f t="shared" ref="G29:G30" si="2">E29-F29</f>
        <v>144000</v>
      </c>
      <c r="H29" s="14"/>
    </row>
    <row r="30" spans="2:8" x14ac:dyDescent="0.3">
      <c r="B30" s="12" t="s">
        <v>81</v>
      </c>
      <c r="C30" s="12" t="s">
        <v>69</v>
      </c>
      <c r="D30" s="12" t="s">
        <v>127</v>
      </c>
      <c r="E30" s="13">
        <v>5000</v>
      </c>
      <c r="F30" s="13"/>
      <c r="G30" s="14">
        <f t="shared" si="2"/>
        <v>5000</v>
      </c>
      <c r="H30" s="14"/>
    </row>
    <row r="31" spans="2:8" x14ac:dyDescent="0.3">
      <c r="B31" s="12" t="s">
        <v>82</v>
      </c>
      <c r="C31" s="12" t="s">
        <v>69</v>
      </c>
      <c r="D31" s="12"/>
      <c r="E31" s="13">
        <v>62000</v>
      </c>
      <c r="F31" s="13"/>
      <c r="G31" s="14">
        <f>E31-F31</f>
        <v>62000</v>
      </c>
      <c r="H31" s="14"/>
    </row>
    <row r="32" spans="2:8" x14ac:dyDescent="0.3">
      <c r="B32" s="12" t="s">
        <v>83</v>
      </c>
      <c r="C32" s="12" t="s">
        <v>69</v>
      </c>
      <c r="D32" s="12"/>
      <c r="E32" s="13"/>
      <c r="F32" s="13">
        <v>250000</v>
      </c>
      <c r="G32" s="14"/>
      <c r="H32" s="14">
        <f>F32-E32</f>
        <v>250000</v>
      </c>
    </row>
    <row r="33" spans="2:8" x14ac:dyDescent="0.3">
      <c r="B33" s="12" t="s">
        <v>80</v>
      </c>
      <c r="C33" s="12" t="s">
        <v>69</v>
      </c>
      <c r="D33" s="12"/>
      <c r="E33" s="13">
        <v>1000000</v>
      </c>
      <c r="F33" s="13"/>
      <c r="G33" s="14">
        <f>E33-F33</f>
        <v>1000000</v>
      </c>
      <c r="H33" s="14"/>
    </row>
    <row r="34" spans="2:8" x14ac:dyDescent="0.3">
      <c r="B34" s="12" t="s">
        <v>88</v>
      </c>
      <c r="C34" s="12" t="s">
        <v>68</v>
      </c>
      <c r="D34" s="12"/>
      <c r="E34" s="13"/>
      <c r="F34" s="13">
        <v>500000</v>
      </c>
      <c r="G34" s="14"/>
      <c r="H34" s="14">
        <f>F34-E34</f>
        <v>500000</v>
      </c>
    </row>
    <row r="35" spans="2:8" x14ac:dyDescent="0.3">
      <c r="B35" s="12" t="s">
        <v>89</v>
      </c>
      <c r="C35" s="12" t="s">
        <v>69</v>
      </c>
      <c r="D35" s="12"/>
      <c r="E35" s="13"/>
      <c r="F35" s="13"/>
      <c r="G35" s="14">
        <f>E35-F35</f>
        <v>0</v>
      </c>
      <c r="H35" s="14"/>
    </row>
    <row r="36" spans="2:8" ht="15" thickBot="1" x14ac:dyDescent="0.35">
      <c r="B36" s="12" t="s">
        <v>86</v>
      </c>
      <c r="C36" s="12" t="s">
        <v>69</v>
      </c>
      <c r="D36" s="20"/>
      <c r="E36" s="13">
        <f>'Liquidity &amp; Solvency Ratios'!D58</f>
        <v>631600</v>
      </c>
      <c r="F36" s="13">
        <v>0</v>
      </c>
      <c r="G36" s="14">
        <f>E36-F36</f>
        <v>631600</v>
      </c>
      <c r="H36" s="14"/>
    </row>
    <row r="37" spans="2:8" ht="15" thickBot="1" x14ac:dyDescent="0.35">
      <c r="B37" s="19" t="s">
        <v>92</v>
      </c>
      <c r="C37" s="19"/>
      <c r="D37" s="19"/>
      <c r="E37" s="11">
        <f>SUM(E3:E36)</f>
        <v>30528800</v>
      </c>
      <c r="F37" s="11">
        <f t="shared" ref="F37:H37" si="3">SUM(F3:F36)</f>
        <v>30528800</v>
      </c>
      <c r="G37" s="11">
        <f t="shared" si="3"/>
        <v>14784800</v>
      </c>
      <c r="H37" s="11">
        <f t="shared" si="3"/>
        <v>14784800</v>
      </c>
    </row>
    <row r="38" spans="2:8" ht="15" thickTop="1" x14ac:dyDescent="0.3">
      <c r="E38" s="82" t="b">
        <f>IF(E37-F37&lt;&gt;0, FALSE,TRUE)</f>
        <v>1</v>
      </c>
      <c r="F38" s="82"/>
      <c r="G38" s="82" t="b">
        <f>IF(G37-H37&lt;&gt;0, FALSE,TRUE)</f>
        <v>1</v>
      </c>
      <c r="H38" s="82"/>
    </row>
  </sheetData>
  <mergeCells count="2">
    <mergeCell ref="E38:F38"/>
    <mergeCell ref="G38:H38"/>
  </mergeCells>
  <conditionalFormatting sqref="E38:H38">
    <cfRule type="cellIs" dxfId="11" priority="1" operator="equal">
      <formula>FALSE</formula>
    </cfRule>
    <cfRule type="cellIs" dxfId="10" priority="2" operator="equal">
      <formula>TRUE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9"/>
  <sheetViews>
    <sheetView showGridLines="0" zoomScale="120" zoomScaleNormal="120" workbookViewId="0">
      <pane xSplit="2" ySplit="2" topLeftCell="C3" activePane="bottomRight" state="frozen"/>
      <selection pane="topRight" activeCell="D1" sqref="D1"/>
      <selection pane="bottomLeft" activeCell="A3" sqref="A3"/>
      <selection pane="bottomRight" activeCell="C93" sqref="C93"/>
    </sheetView>
  </sheetViews>
  <sheetFormatPr defaultRowHeight="14.4" x14ac:dyDescent="0.3"/>
  <cols>
    <col min="1" max="1" width="3.77734375" style="7" customWidth="1"/>
    <col min="2" max="2" width="51" style="7" bestFit="1" customWidth="1"/>
    <col min="3" max="3" width="13.88671875" style="6" bestFit="1" customWidth="1"/>
    <col min="4" max="4" width="16.5546875" style="6" customWidth="1"/>
    <col min="5" max="5" width="2.44140625" style="7" customWidth="1"/>
    <col min="6" max="7" width="8.88671875" style="7"/>
    <col min="8" max="8" width="2.21875" style="7" customWidth="1"/>
    <col min="9" max="9" width="8.88671875" style="7"/>
    <col min="10" max="10" width="20.109375" style="7" customWidth="1"/>
    <col min="11" max="11" width="1.88671875" style="7" customWidth="1"/>
    <col min="12" max="12" width="17.44140625" style="7" bestFit="1" customWidth="1"/>
    <col min="13" max="16384" width="8.88671875" style="7"/>
  </cols>
  <sheetData>
    <row r="1" spans="1:12" ht="29.4" thickBot="1" x14ac:dyDescent="0.35">
      <c r="A1" s="86" t="s">
        <v>126</v>
      </c>
      <c r="B1" s="86"/>
      <c r="C1" s="84" t="s">
        <v>0</v>
      </c>
      <c r="D1" s="83" t="s">
        <v>1</v>
      </c>
      <c r="F1" s="3" t="s">
        <v>0</v>
      </c>
      <c r="G1" s="4" t="s">
        <v>1</v>
      </c>
      <c r="I1" s="3" t="s">
        <v>0</v>
      </c>
      <c r="J1" s="35" t="s">
        <v>1</v>
      </c>
      <c r="L1" s="4" t="s">
        <v>1</v>
      </c>
    </row>
    <row r="2" spans="1:12" ht="15" thickBot="1" x14ac:dyDescent="0.35">
      <c r="A2" s="86"/>
      <c r="B2" s="86"/>
      <c r="C2" s="84"/>
      <c r="D2" s="83"/>
      <c r="F2" s="31" t="s">
        <v>103</v>
      </c>
      <c r="G2" s="31"/>
      <c r="I2" s="85" t="s">
        <v>104</v>
      </c>
      <c r="J2" s="85"/>
      <c r="L2" s="34" t="s">
        <v>105</v>
      </c>
    </row>
    <row r="3" spans="1:12" ht="21" x14ac:dyDescent="0.3">
      <c r="B3" s="54" t="s">
        <v>74</v>
      </c>
      <c r="C3" s="59"/>
      <c r="D3" s="59"/>
      <c r="F3" s="60"/>
      <c r="G3" s="60"/>
      <c r="I3" s="60"/>
      <c r="J3" s="60"/>
      <c r="L3" s="60"/>
    </row>
    <row r="4" spans="1:12" x14ac:dyDescent="0.3">
      <c r="B4" s="46" t="s">
        <v>17</v>
      </c>
      <c r="C4" s="1"/>
      <c r="D4" s="1"/>
    </row>
    <row r="5" spans="1:12" s="1" customFormat="1" x14ac:dyDescent="0.3">
      <c r="B5" s="2" t="s">
        <v>2</v>
      </c>
      <c r="I5" s="23"/>
      <c r="J5" s="23"/>
    </row>
    <row r="6" spans="1:12" x14ac:dyDescent="0.3">
      <c r="B6" s="7" t="s">
        <v>3</v>
      </c>
      <c r="C6" s="66">
        <f>'Trial Balance Previous Year'!G3</f>
        <v>831200</v>
      </c>
      <c r="D6" s="66">
        <f>'Trial Balance Current year'!G3</f>
        <v>1237200</v>
      </c>
      <c r="F6" s="28">
        <f t="shared" ref="F6:F12" si="0">IFERROR(C6/$C$19,"na")</f>
        <v>0.16527479519605504</v>
      </c>
      <c r="G6" s="28">
        <f t="shared" ref="G6:G12" si="1">IFERROR(D6/$D$19,"na")</f>
        <v>0.153533047082475</v>
      </c>
      <c r="I6" s="32">
        <v>1</v>
      </c>
      <c r="J6" s="27">
        <f>IFERROR(D6/C6,"na")</f>
        <v>1.4884504331087585</v>
      </c>
      <c r="L6" s="44">
        <f>IFERROR((D6-C6)/C6,"na")</f>
        <v>0.48845043310875841</v>
      </c>
    </row>
    <row r="7" spans="1:12" x14ac:dyDescent="0.3">
      <c r="B7" s="7" t="s">
        <v>4</v>
      </c>
      <c r="C7" s="9">
        <f>'Trial Balance Previous Year'!G4</f>
        <v>200000</v>
      </c>
      <c r="D7" s="9">
        <f>'Trial Balance Current year'!G4</f>
        <v>275000</v>
      </c>
      <c r="F7" s="28">
        <f t="shared" si="0"/>
        <v>3.9767756303189371E-2</v>
      </c>
      <c r="G7" s="28">
        <f t="shared" si="1"/>
        <v>3.412672805341143E-2</v>
      </c>
      <c r="I7" s="32">
        <v>1</v>
      </c>
      <c r="J7" s="27">
        <f t="shared" ref="J7:J59" si="2">IFERROR(D7/C7,"na")</f>
        <v>1.375</v>
      </c>
      <c r="L7" s="44">
        <f t="shared" ref="L7:L59" si="3">IFERROR((D7-C7)/C7,"na")</f>
        <v>0.375</v>
      </c>
    </row>
    <row r="8" spans="1:12" x14ac:dyDescent="0.3">
      <c r="B8" s="7" t="s">
        <v>5</v>
      </c>
      <c r="C8" s="9">
        <f>'Trial Balance Previous Year'!G5</f>
        <v>1250000</v>
      </c>
      <c r="D8" s="9">
        <f>'Trial Balance Current year'!G5</f>
        <v>4170000</v>
      </c>
      <c r="F8" s="28">
        <f t="shared" si="0"/>
        <v>0.24854847689493359</v>
      </c>
      <c r="G8" s="28">
        <f t="shared" si="1"/>
        <v>0.5174852944826388</v>
      </c>
      <c r="I8" s="32">
        <v>1</v>
      </c>
      <c r="J8" s="27">
        <f t="shared" si="2"/>
        <v>3.3359999999999999</v>
      </c>
      <c r="L8" s="44">
        <f t="shared" si="3"/>
        <v>2.3359999999999999</v>
      </c>
    </row>
    <row r="9" spans="1:12" x14ac:dyDescent="0.3">
      <c r="B9" s="7" t="s">
        <v>6</v>
      </c>
      <c r="C9" s="9">
        <f>'Trial Balance Previous Year'!G6</f>
        <v>50000</v>
      </c>
      <c r="D9" s="9">
        <f>'Trial Balance Current year'!G6</f>
        <v>20000</v>
      </c>
      <c r="F9" s="28">
        <f t="shared" si="0"/>
        <v>9.9419390757973427E-3</v>
      </c>
      <c r="G9" s="28">
        <f t="shared" si="1"/>
        <v>2.4819438584299221E-3</v>
      </c>
      <c r="I9" s="32">
        <v>1</v>
      </c>
      <c r="J9" s="27">
        <f t="shared" si="2"/>
        <v>0.4</v>
      </c>
      <c r="L9" s="44">
        <f t="shared" si="3"/>
        <v>-0.6</v>
      </c>
    </row>
    <row r="10" spans="1:12" x14ac:dyDescent="0.3">
      <c r="B10" s="7" t="s">
        <v>7</v>
      </c>
      <c r="C10" s="9">
        <f>'Trial Balance Previous Year'!G7</f>
        <v>2000000</v>
      </c>
      <c r="D10" s="9">
        <f>'Trial Balance Current year'!G7</f>
        <v>1790000</v>
      </c>
      <c r="F10" s="28">
        <f t="shared" si="0"/>
        <v>0.39767756303189372</v>
      </c>
      <c r="G10" s="28">
        <f t="shared" si="1"/>
        <v>0.22213397532947804</v>
      </c>
      <c r="I10" s="32">
        <v>1</v>
      </c>
      <c r="J10" s="27">
        <f t="shared" si="2"/>
        <v>0.89500000000000002</v>
      </c>
      <c r="L10" s="44">
        <f t="shared" si="3"/>
        <v>-0.105</v>
      </c>
    </row>
    <row r="11" spans="1:12" ht="15" thickBot="1" x14ac:dyDescent="0.35">
      <c r="B11" s="7" t="s">
        <v>8</v>
      </c>
      <c r="C11" s="61">
        <f>'Trial Balance Previous Year'!G8</f>
        <v>100000</v>
      </c>
      <c r="D11" s="9">
        <f>'Trial Balance Current year'!G8</f>
        <v>30000</v>
      </c>
      <c r="F11" s="28">
        <f t="shared" si="0"/>
        <v>1.9883878151594685E-2</v>
      </c>
      <c r="G11" s="28">
        <f t="shared" si="1"/>
        <v>3.7229157876448836E-3</v>
      </c>
      <c r="I11" s="32">
        <v>1</v>
      </c>
      <c r="J11" s="27">
        <f t="shared" si="2"/>
        <v>0.3</v>
      </c>
      <c r="L11" s="44">
        <f t="shared" si="3"/>
        <v>-0.7</v>
      </c>
    </row>
    <row r="12" spans="1:12" x14ac:dyDescent="0.3">
      <c r="B12" s="8" t="s">
        <v>9</v>
      </c>
      <c r="C12" s="67">
        <f>SUM(C6:C11)</f>
        <v>4431200</v>
      </c>
      <c r="D12" s="68">
        <f>SUM(D6:D11)</f>
        <v>7522200</v>
      </c>
      <c r="F12" s="29">
        <f t="shared" si="0"/>
        <v>0.88109440865346378</v>
      </c>
      <c r="G12" s="29">
        <f t="shared" si="1"/>
        <v>0.93348390459407804</v>
      </c>
      <c r="I12" s="38">
        <v>1</v>
      </c>
      <c r="J12" s="38">
        <f t="shared" si="2"/>
        <v>1.6975537100559668</v>
      </c>
      <c r="L12" s="40">
        <f t="shared" si="3"/>
        <v>0.69755371005596678</v>
      </c>
    </row>
    <row r="13" spans="1:12" x14ac:dyDescent="0.3">
      <c r="B13" s="2" t="s">
        <v>10</v>
      </c>
      <c r="C13" s="62"/>
      <c r="D13" s="62"/>
      <c r="F13" s="28"/>
      <c r="G13" s="28"/>
      <c r="J13" s="33"/>
      <c r="L13" s="44"/>
    </row>
    <row r="14" spans="1:12" x14ac:dyDescent="0.3">
      <c r="B14" s="7" t="s">
        <v>11</v>
      </c>
      <c r="C14" s="66">
        <f>'Trial Balance Previous Year'!G9</f>
        <v>350000</v>
      </c>
      <c r="D14" s="66">
        <f>'Trial Balance Current year'!G9</f>
        <v>350000</v>
      </c>
      <c r="F14" s="28">
        <f t="shared" ref="F14:F19" si="4">IFERROR(C14/$C$19,"na")</f>
        <v>6.9593573530581404E-2</v>
      </c>
      <c r="G14" s="28">
        <f t="shared" ref="G14:G19" si="5">IFERROR(D14/$D$19,"na")</f>
        <v>4.3434017522523641E-2</v>
      </c>
      <c r="I14" s="32">
        <v>1</v>
      </c>
      <c r="J14" s="27">
        <f t="shared" si="2"/>
        <v>1</v>
      </c>
      <c r="L14" s="44">
        <f t="shared" si="3"/>
        <v>0</v>
      </c>
    </row>
    <row r="15" spans="1:12" x14ac:dyDescent="0.3">
      <c r="B15" s="7" t="s">
        <v>13</v>
      </c>
      <c r="C15" s="9">
        <f>'Trial Balance Previous Year'!E10</f>
        <v>310000</v>
      </c>
      <c r="D15" s="9">
        <f>'Trial Balance Current year'!G10</f>
        <v>310000</v>
      </c>
      <c r="F15" s="28">
        <f t="shared" si="4"/>
        <v>6.1640022269943529E-2</v>
      </c>
      <c r="G15" s="28">
        <f t="shared" si="5"/>
        <v>3.8470129805663798E-2</v>
      </c>
      <c r="I15" s="32">
        <v>1</v>
      </c>
      <c r="J15" s="27">
        <f t="shared" si="2"/>
        <v>1</v>
      </c>
      <c r="L15" s="44">
        <f t="shared" si="3"/>
        <v>0</v>
      </c>
    </row>
    <row r="16" spans="1:12" x14ac:dyDescent="0.3">
      <c r="B16" s="7" t="s">
        <v>12</v>
      </c>
      <c r="C16" s="9">
        <f>'Trial Balance Previous Year'!H11</f>
        <v>62000</v>
      </c>
      <c r="D16" s="9">
        <f>'Trial Balance Current year'!H11</f>
        <v>124000</v>
      </c>
      <c r="F16" s="28">
        <f t="shared" si="4"/>
        <v>1.2328004453988706E-2</v>
      </c>
      <c r="G16" s="28">
        <f t="shared" si="5"/>
        <v>1.5388051922265519E-2</v>
      </c>
      <c r="I16" s="32">
        <v>1</v>
      </c>
      <c r="J16" s="27">
        <f t="shared" si="2"/>
        <v>2</v>
      </c>
      <c r="L16" s="44">
        <f t="shared" si="3"/>
        <v>1</v>
      </c>
    </row>
    <row r="17" spans="2:12" ht="15" thickBot="1" x14ac:dyDescent="0.35">
      <c r="B17" s="7" t="s">
        <v>14</v>
      </c>
      <c r="C17" s="9">
        <f>'Trial Balance Previous Year'!G12</f>
        <v>0</v>
      </c>
      <c r="D17" s="9"/>
      <c r="F17" s="28">
        <f t="shared" si="4"/>
        <v>0</v>
      </c>
      <c r="G17" s="28">
        <f t="shared" si="5"/>
        <v>0</v>
      </c>
      <c r="I17" s="32">
        <v>1</v>
      </c>
      <c r="J17" s="33" t="str">
        <f t="shared" si="2"/>
        <v>na</v>
      </c>
      <c r="L17" s="44" t="str">
        <f t="shared" si="3"/>
        <v>na</v>
      </c>
    </row>
    <row r="18" spans="2:12" ht="15" thickBot="1" x14ac:dyDescent="0.35">
      <c r="B18" s="8" t="s">
        <v>15</v>
      </c>
      <c r="C18" s="68">
        <f>C14+C15-C16+C17</f>
        <v>598000</v>
      </c>
      <c r="D18" s="68">
        <f>D14+D15-D16+D17</f>
        <v>536000</v>
      </c>
      <c r="E18" s="26"/>
      <c r="F18" s="29">
        <f t="shared" si="4"/>
        <v>0.11890559134653624</v>
      </c>
      <c r="G18" s="29">
        <f t="shared" si="5"/>
        <v>6.6516095405921918E-2</v>
      </c>
      <c r="I18" s="38">
        <v>1</v>
      </c>
      <c r="J18" s="38">
        <f t="shared" si="2"/>
        <v>0.89632107023411367</v>
      </c>
      <c r="L18" s="40">
        <f t="shared" si="3"/>
        <v>-0.10367892976588629</v>
      </c>
    </row>
    <row r="19" spans="2:12" ht="15" thickBot="1" x14ac:dyDescent="0.35">
      <c r="B19" s="47" t="s">
        <v>16</v>
      </c>
      <c r="C19" s="69">
        <f>C18+C12</f>
        <v>5029200</v>
      </c>
      <c r="D19" s="69">
        <f>D18+D12</f>
        <v>8058200</v>
      </c>
      <c r="F19" s="30">
        <f t="shared" si="4"/>
        <v>1</v>
      </c>
      <c r="G19" s="30">
        <f t="shared" si="5"/>
        <v>1</v>
      </c>
      <c r="I19" s="39">
        <v>1</v>
      </c>
      <c r="J19" s="39">
        <f t="shared" si="2"/>
        <v>1.6022826692118031</v>
      </c>
      <c r="L19" s="49">
        <f t="shared" si="3"/>
        <v>0.60228266921180307</v>
      </c>
    </row>
    <row r="20" spans="2:12" ht="15" thickTop="1" x14ac:dyDescent="0.3">
      <c r="C20" s="62"/>
      <c r="D20" s="62"/>
      <c r="J20" s="33"/>
      <c r="L20" s="50"/>
    </row>
    <row r="21" spans="2:12" x14ac:dyDescent="0.3">
      <c r="B21" s="46" t="s">
        <v>18</v>
      </c>
      <c r="C21" s="62"/>
      <c r="D21" s="62"/>
      <c r="J21" s="33"/>
      <c r="L21" s="50"/>
    </row>
    <row r="22" spans="2:12" x14ac:dyDescent="0.3">
      <c r="B22" s="2" t="s">
        <v>27</v>
      </c>
      <c r="C22" s="62"/>
      <c r="D22" s="62"/>
      <c r="J22" s="33"/>
      <c r="L22" s="50"/>
    </row>
    <row r="23" spans="2:12" x14ac:dyDescent="0.3">
      <c r="B23" s="7" t="s">
        <v>19</v>
      </c>
      <c r="C23" s="66">
        <f>'Trial Balance Previous Year'!H13</f>
        <v>1000000</v>
      </c>
      <c r="D23" s="66">
        <f>'Trial Balance Current year'!H13</f>
        <v>3050000</v>
      </c>
      <c r="F23" s="28">
        <f>IFERROR(C23/$C$43,"na")</f>
        <v>0.19883878151594686</v>
      </c>
      <c r="G23" s="28">
        <f>IFERROR(D23/$D$43,"na")</f>
        <v>0.37849643841056313</v>
      </c>
      <c r="I23" s="32">
        <v>1</v>
      </c>
      <c r="J23" s="33">
        <f t="shared" si="2"/>
        <v>3.05</v>
      </c>
      <c r="L23" s="44">
        <f t="shared" si="3"/>
        <v>2.0499999999999998</v>
      </c>
    </row>
    <row r="24" spans="2:12" x14ac:dyDescent="0.3">
      <c r="B24" s="7" t="s">
        <v>35</v>
      </c>
      <c r="C24" s="9">
        <f>'Trial Balance Previous Year'!H14</f>
        <v>0</v>
      </c>
      <c r="D24" s="9">
        <f>'Trial Balance Current year'!H14</f>
        <v>0</v>
      </c>
      <c r="F24" s="28">
        <f t="shared" ref="F24:F43" si="6">IFERROR(C24/$C$43,"na")</f>
        <v>0</v>
      </c>
      <c r="G24" s="28">
        <f t="shared" ref="G24:G43" si="7">IFERROR(D24/$D$43,"na")</f>
        <v>0</v>
      </c>
      <c r="I24" s="32">
        <v>1</v>
      </c>
      <c r="J24" s="33" t="str">
        <f t="shared" si="2"/>
        <v>na</v>
      </c>
      <c r="L24" s="44" t="str">
        <f t="shared" si="3"/>
        <v>na</v>
      </c>
    </row>
    <row r="25" spans="2:12" x14ac:dyDescent="0.3">
      <c r="B25" s="7" t="s">
        <v>36</v>
      </c>
      <c r="C25" s="9">
        <f>'Trial Balance Previous Year'!H15</f>
        <v>0</v>
      </c>
      <c r="D25" s="9">
        <f>'Trial Balance Current year'!H15</f>
        <v>0</v>
      </c>
      <c r="F25" s="28">
        <f t="shared" si="6"/>
        <v>0</v>
      </c>
      <c r="G25" s="28">
        <f t="shared" si="7"/>
        <v>0</v>
      </c>
      <c r="I25" s="32">
        <v>1</v>
      </c>
      <c r="J25" s="33" t="str">
        <f t="shared" si="2"/>
        <v>na</v>
      </c>
      <c r="L25" s="44" t="str">
        <f t="shared" si="3"/>
        <v>na</v>
      </c>
    </row>
    <row r="26" spans="2:12" x14ac:dyDescent="0.3">
      <c r="B26" s="7" t="s">
        <v>37</v>
      </c>
      <c r="C26" s="9">
        <f>'Trial Balance Previous Year'!H16</f>
        <v>0</v>
      </c>
      <c r="D26" s="9">
        <f>'Trial Balance Current year'!H16</f>
        <v>0</v>
      </c>
      <c r="F26" s="28">
        <f t="shared" si="6"/>
        <v>0</v>
      </c>
      <c r="G26" s="28">
        <f t="shared" si="7"/>
        <v>0</v>
      </c>
      <c r="I26" s="32">
        <v>1</v>
      </c>
      <c r="J26" s="33" t="str">
        <f t="shared" si="2"/>
        <v>na</v>
      </c>
      <c r="L26" s="44" t="str">
        <f t="shared" si="3"/>
        <v>na</v>
      </c>
    </row>
    <row r="27" spans="2:12" x14ac:dyDescent="0.3">
      <c r="B27" s="7" t="s">
        <v>38</v>
      </c>
      <c r="C27" s="9">
        <f>'Trial Balance Previous Year'!H17</f>
        <v>144000</v>
      </c>
      <c r="D27" s="9">
        <f>'Trial Balance Current year'!H17</f>
        <v>144000</v>
      </c>
      <c r="F27" s="28">
        <f t="shared" si="6"/>
        <v>2.863278453829635E-2</v>
      </c>
      <c r="G27" s="28">
        <f t="shared" si="7"/>
        <v>1.7869995780695442E-2</v>
      </c>
      <c r="I27" s="32">
        <v>1</v>
      </c>
      <c r="J27" s="33">
        <f t="shared" si="2"/>
        <v>1</v>
      </c>
      <c r="L27" s="44">
        <f t="shared" si="3"/>
        <v>0</v>
      </c>
    </row>
    <row r="28" spans="2:12" ht="15" thickBot="1" x14ac:dyDescent="0.35">
      <c r="B28" s="7" t="s">
        <v>39</v>
      </c>
      <c r="C28" s="9">
        <f>'Trial Balance Previous Year'!H18</f>
        <v>208800</v>
      </c>
      <c r="D28" s="9">
        <f>'Trial Balance Current year'!H18</f>
        <v>240400</v>
      </c>
      <c r="F28" s="28">
        <f t="shared" si="6"/>
        <v>4.1517537580529708E-2</v>
      </c>
      <c r="G28" s="28">
        <f t="shared" si="7"/>
        <v>2.9832965178327665E-2</v>
      </c>
      <c r="I28" s="32">
        <v>1</v>
      </c>
      <c r="J28" s="33">
        <f t="shared" si="2"/>
        <v>1.1513409961685823</v>
      </c>
      <c r="L28" s="44">
        <f t="shared" si="3"/>
        <v>0.15134099616858238</v>
      </c>
    </row>
    <row r="29" spans="2:12" x14ac:dyDescent="0.3">
      <c r="B29" s="8" t="s">
        <v>41</v>
      </c>
      <c r="C29" s="68">
        <f>SUM(C23:C28)</f>
        <v>1352800</v>
      </c>
      <c r="D29" s="68">
        <f>SUM(D23:D28)</f>
        <v>3434400</v>
      </c>
      <c r="F29" s="29">
        <f t="shared" si="6"/>
        <v>0.26898910363477291</v>
      </c>
      <c r="G29" s="29">
        <f t="shared" si="7"/>
        <v>0.42619939936958628</v>
      </c>
      <c r="I29" s="38">
        <v>1</v>
      </c>
      <c r="J29" s="38">
        <f t="shared" si="2"/>
        <v>2.5387344766410407</v>
      </c>
      <c r="L29" s="40">
        <f t="shared" si="3"/>
        <v>1.5387344766410409</v>
      </c>
    </row>
    <row r="30" spans="2:12" x14ac:dyDescent="0.3">
      <c r="B30" s="2" t="s">
        <v>28</v>
      </c>
      <c r="C30" s="62"/>
      <c r="D30" s="62"/>
      <c r="F30" s="28">
        <f t="shared" si="6"/>
        <v>0</v>
      </c>
      <c r="G30" s="28">
        <f t="shared" si="7"/>
        <v>0</v>
      </c>
      <c r="I30" s="32">
        <v>1</v>
      </c>
      <c r="J30" s="33" t="str">
        <f t="shared" si="2"/>
        <v>na</v>
      </c>
      <c r="L30" s="44" t="str">
        <f t="shared" si="3"/>
        <v>na</v>
      </c>
    </row>
    <row r="31" spans="2:12" x14ac:dyDescent="0.3">
      <c r="B31" s="7" t="s">
        <v>40</v>
      </c>
      <c r="C31" s="66">
        <f>'Trial Balance Previous Year'!H19</f>
        <v>0</v>
      </c>
      <c r="D31" s="66">
        <f>'Trial Balance Current year'!H19</f>
        <v>0</v>
      </c>
      <c r="F31" s="28">
        <f t="shared" si="6"/>
        <v>0</v>
      </c>
      <c r="G31" s="28">
        <f t="shared" si="7"/>
        <v>0</v>
      </c>
      <c r="I31" s="32">
        <v>1</v>
      </c>
      <c r="J31" s="33" t="str">
        <f t="shared" si="2"/>
        <v>na</v>
      </c>
      <c r="L31" s="44" t="str">
        <f t="shared" si="3"/>
        <v>na</v>
      </c>
    </row>
    <row r="32" spans="2:12" x14ac:dyDescent="0.3">
      <c r="B32" s="7" t="s">
        <v>21</v>
      </c>
      <c r="C32" s="9">
        <f>'Trial Balance Previous Year'!H20</f>
        <v>0</v>
      </c>
      <c r="D32" s="9">
        <f>'Trial Balance Current year'!H20</f>
        <v>0</v>
      </c>
      <c r="F32" s="28">
        <f t="shared" si="6"/>
        <v>0</v>
      </c>
      <c r="G32" s="28">
        <f t="shared" si="7"/>
        <v>0</v>
      </c>
      <c r="I32" s="32">
        <v>1</v>
      </c>
      <c r="J32" s="33" t="str">
        <f t="shared" si="2"/>
        <v>na</v>
      </c>
      <c r="L32" s="44" t="str">
        <f t="shared" si="3"/>
        <v>na</v>
      </c>
    </row>
    <row r="33" spans="2:12" x14ac:dyDescent="0.3">
      <c r="B33" s="7" t="s">
        <v>24</v>
      </c>
      <c r="C33" s="9">
        <f>'Trial Balance Previous Year'!H21</f>
        <v>0</v>
      </c>
      <c r="D33" s="9">
        <f>'Trial Balance Current year'!H21</f>
        <v>0</v>
      </c>
      <c r="F33" s="28">
        <f t="shared" si="6"/>
        <v>0</v>
      </c>
      <c r="G33" s="28">
        <f t="shared" si="7"/>
        <v>0</v>
      </c>
      <c r="I33" s="32">
        <v>1</v>
      </c>
      <c r="J33" s="33" t="str">
        <f t="shared" si="2"/>
        <v>na</v>
      </c>
      <c r="L33" s="44" t="str">
        <f t="shared" si="3"/>
        <v>na</v>
      </c>
    </row>
    <row r="34" spans="2:12" ht="15" thickBot="1" x14ac:dyDescent="0.35">
      <c r="B34" s="7" t="s">
        <v>25</v>
      </c>
      <c r="C34" s="9">
        <f>'Trial Balance Previous Year'!H22</f>
        <v>0</v>
      </c>
      <c r="D34" s="9">
        <f>'Trial Balance Current year'!H22</f>
        <v>0</v>
      </c>
      <c r="F34" s="28">
        <f t="shared" si="6"/>
        <v>0</v>
      </c>
      <c r="G34" s="28">
        <f t="shared" si="7"/>
        <v>0</v>
      </c>
      <c r="I34" s="32">
        <v>1</v>
      </c>
      <c r="J34" s="33" t="str">
        <f t="shared" si="2"/>
        <v>na</v>
      </c>
      <c r="L34" s="44" t="str">
        <f t="shared" si="3"/>
        <v>na</v>
      </c>
    </row>
    <row r="35" spans="2:12" ht="15" thickBot="1" x14ac:dyDescent="0.35">
      <c r="B35" s="8" t="s">
        <v>26</v>
      </c>
      <c r="C35" s="68">
        <f>SUM(C31:C34)</f>
        <v>0</v>
      </c>
      <c r="D35" s="68">
        <f>SUM(D31:D34)</f>
        <v>0</v>
      </c>
      <c r="F35" s="29">
        <f t="shared" si="6"/>
        <v>0</v>
      </c>
      <c r="G35" s="29">
        <f t="shared" si="7"/>
        <v>0</v>
      </c>
      <c r="I35" s="38">
        <v>1</v>
      </c>
      <c r="J35" s="40" t="str">
        <f t="shared" si="2"/>
        <v>na</v>
      </c>
      <c r="L35" s="40" t="str">
        <f t="shared" si="3"/>
        <v>na</v>
      </c>
    </row>
    <row r="36" spans="2:12" x14ac:dyDescent="0.3">
      <c r="B36" s="8" t="s">
        <v>42</v>
      </c>
      <c r="C36" s="63">
        <f>C35+C29</f>
        <v>1352800</v>
      </c>
      <c r="D36" s="63">
        <f>D35+D29</f>
        <v>3434400</v>
      </c>
      <c r="F36" s="29">
        <f t="shared" si="6"/>
        <v>0.26898910363477291</v>
      </c>
      <c r="G36" s="29">
        <f t="shared" si="7"/>
        <v>0.42619939936958628</v>
      </c>
      <c r="I36" s="38">
        <v>1</v>
      </c>
      <c r="J36" s="38">
        <f t="shared" si="2"/>
        <v>2.5387344766410407</v>
      </c>
      <c r="L36" s="40">
        <f t="shared" si="3"/>
        <v>1.5387344766410409</v>
      </c>
    </row>
    <row r="37" spans="2:12" x14ac:dyDescent="0.3">
      <c r="B37" s="2" t="s">
        <v>43</v>
      </c>
      <c r="C37" s="62"/>
      <c r="D37" s="62"/>
      <c r="F37" s="28">
        <f t="shared" si="6"/>
        <v>0</v>
      </c>
      <c r="G37" s="28">
        <f t="shared" si="7"/>
        <v>0</v>
      </c>
      <c r="I37" s="32">
        <v>1</v>
      </c>
      <c r="J37" s="33" t="str">
        <f t="shared" si="2"/>
        <v>na</v>
      </c>
      <c r="L37" s="44" t="str">
        <f t="shared" si="3"/>
        <v>na</v>
      </c>
    </row>
    <row r="38" spans="2:12" x14ac:dyDescent="0.3">
      <c r="B38" s="7" t="s">
        <v>50</v>
      </c>
      <c r="C38" s="66">
        <f>'Trial Balance Previous Year'!H23</f>
        <v>3000000</v>
      </c>
      <c r="D38" s="66">
        <f>'Trial Balance Current year'!H23</f>
        <v>3000000</v>
      </c>
      <c r="F38" s="28">
        <f t="shared" si="6"/>
        <v>0.59651634454784064</v>
      </c>
      <c r="G38" s="28">
        <f t="shared" si="7"/>
        <v>0.37229157876448837</v>
      </c>
      <c r="I38" s="32">
        <v>1</v>
      </c>
      <c r="J38" s="33">
        <f t="shared" si="2"/>
        <v>1</v>
      </c>
      <c r="L38" s="44">
        <f t="shared" si="3"/>
        <v>0</v>
      </c>
    </row>
    <row r="39" spans="2:12" x14ac:dyDescent="0.3">
      <c r="B39" s="7" t="s">
        <v>51</v>
      </c>
      <c r="C39" s="9">
        <f>'Trial Balance Previous Year'!H24</f>
        <v>50000</v>
      </c>
      <c r="D39" s="9">
        <f>'Trial Balance Current year'!H24</f>
        <v>50000</v>
      </c>
      <c r="F39" s="28">
        <f t="shared" si="6"/>
        <v>9.9419390757973427E-3</v>
      </c>
      <c r="G39" s="28">
        <f t="shared" si="7"/>
        <v>6.2048596460748057E-3</v>
      </c>
      <c r="I39" s="32">
        <v>1</v>
      </c>
      <c r="J39" s="33">
        <f t="shared" si="2"/>
        <v>1</v>
      </c>
      <c r="L39" s="44">
        <f t="shared" si="3"/>
        <v>0</v>
      </c>
    </row>
    <row r="40" spans="2:12" x14ac:dyDescent="0.3">
      <c r="B40" s="7" t="s">
        <v>52</v>
      </c>
      <c r="C40" s="9">
        <f>'Trial Balance Previous Year'!H25</f>
        <v>0</v>
      </c>
      <c r="D40" s="9">
        <f>'Trial Balance Current year'!H25</f>
        <v>0</v>
      </c>
      <c r="F40" s="37">
        <f t="shared" si="6"/>
        <v>0</v>
      </c>
      <c r="G40" s="37">
        <f t="shared" si="7"/>
        <v>0</v>
      </c>
      <c r="I40" s="32">
        <v>1</v>
      </c>
      <c r="J40" s="33" t="str">
        <f t="shared" si="2"/>
        <v>na</v>
      </c>
      <c r="L40" s="51" t="str">
        <f t="shared" si="3"/>
        <v>na</v>
      </c>
    </row>
    <row r="41" spans="2:12" ht="15" thickBot="1" x14ac:dyDescent="0.35">
      <c r="B41" s="7" t="s">
        <v>53</v>
      </c>
      <c r="C41" s="66">
        <f>C59</f>
        <v>626400</v>
      </c>
      <c r="D41" s="66">
        <f>C59+D59</f>
        <v>1573800</v>
      </c>
      <c r="E41" s="26"/>
      <c r="F41" s="36">
        <f t="shared" si="6"/>
        <v>0.12455261274158912</v>
      </c>
      <c r="G41" s="36">
        <f t="shared" si="7"/>
        <v>0.19530416221985059</v>
      </c>
      <c r="I41" s="41">
        <v>1</v>
      </c>
      <c r="J41" s="42">
        <f>IFERROR(D41/C41,"na")</f>
        <v>2.5124521072796937</v>
      </c>
      <c r="L41" s="52">
        <f t="shared" si="3"/>
        <v>1.5124521072796935</v>
      </c>
    </row>
    <row r="42" spans="2:12" ht="15" thickBot="1" x14ac:dyDescent="0.35">
      <c r="B42" s="8" t="s">
        <v>48</v>
      </c>
      <c r="C42" s="68">
        <f>SUM(C38:C41)</f>
        <v>3676400</v>
      </c>
      <c r="D42" s="68">
        <f>SUM(D38:D41)</f>
        <v>4623800</v>
      </c>
      <c r="F42" s="29">
        <f t="shared" si="6"/>
        <v>0.73101089636522709</v>
      </c>
      <c r="G42" s="29">
        <f t="shared" si="7"/>
        <v>0.57380060063041372</v>
      </c>
      <c r="I42" s="38">
        <v>1</v>
      </c>
      <c r="J42" s="38">
        <f t="shared" si="2"/>
        <v>1.2576977477967577</v>
      </c>
      <c r="L42" s="40">
        <f t="shared" si="3"/>
        <v>0.25769774779675769</v>
      </c>
    </row>
    <row r="43" spans="2:12" ht="15" thickBot="1" x14ac:dyDescent="0.35">
      <c r="B43" s="47" t="s">
        <v>49</v>
      </c>
      <c r="C43" s="69">
        <f>C42+C36</f>
        <v>5029200</v>
      </c>
      <c r="D43" s="69">
        <f>D42+D36</f>
        <v>8058200</v>
      </c>
      <c r="F43" s="30">
        <f t="shared" si="6"/>
        <v>1</v>
      </c>
      <c r="G43" s="30">
        <f t="shared" si="7"/>
        <v>1</v>
      </c>
      <c r="I43" s="39">
        <v>1</v>
      </c>
      <c r="J43" s="39">
        <f t="shared" si="2"/>
        <v>1.6022826692118031</v>
      </c>
      <c r="L43" s="49">
        <f t="shared" si="3"/>
        <v>0.60228266921180307</v>
      </c>
    </row>
    <row r="44" spans="2:12" s="21" customFormat="1" ht="15" thickTop="1" x14ac:dyDescent="0.3">
      <c r="C44" s="64" t="b">
        <f>IF(C43-C19&lt;&gt;0,FALSE,TRUE)</f>
        <v>1</v>
      </c>
      <c r="D44" s="64" t="b">
        <f>IF(D43-D19&lt;&gt;0,FALSE,TRUE)</f>
        <v>1</v>
      </c>
      <c r="E44" s="25"/>
      <c r="I44" s="32"/>
      <c r="J44" s="33"/>
      <c r="L44" s="53"/>
    </row>
    <row r="45" spans="2:12" ht="21" x14ac:dyDescent="0.3">
      <c r="B45" s="54" t="s">
        <v>75</v>
      </c>
      <c r="C45" s="65"/>
      <c r="D45" s="65"/>
      <c r="F45" s="60"/>
      <c r="G45" s="60"/>
      <c r="I45" s="60"/>
      <c r="J45" s="60"/>
      <c r="L45" s="60"/>
    </row>
    <row r="46" spans="2:12" x14ac:dyDescent="0.3">
      <c r="B46" s="7" t="s">
        <v>76</v>
      </c>
      <c r="C46" s="70">
        <f>'Trial Balance Previous Year'!H27</f>
        <v>5000000</v>
      </c>
      <c r="D46" s="70">
        <f>'Trial Balance Current year'!H27</f>
        <v>6800000</v>
      </c>
      <c r="E46" s="26"/>
      <c r="F46" s="28">
        <f>IFERROR(C46/$C$46,"na")</f>
        <v>1</v>
      </c>
      <c r="G46" s="28">
        <f>IFERROR(D46/$D$46,"na")</f>
        <v>1</v>
      </c>
      <c r="I46" s="43">
        <v>1</v>
      </c>
      <c r="J46" s="43">
        <f t="shared" si="2"/>
        <v>1.36</v>
      </c>
      <c r="L46" s="44">
        <f t="shared" si="3"/>
        <v>0.36</v>
      </c>
    </row>
    <row r="47" spans="2:12" ht="15" thickBot="1" x14ac:dyDescent="0.35">
      <c r="B47" s="7" t="s">
        <v>77</v>
      </c>
      <c r="C47" s="5">
        <f>'Trial Balance Previous Year'!G28</f>
        <v>3500000</v>
      </c>
      <c r="D47" s="5">
        <f>'Trial Balance Current year'!G28</f>
        <v>4760000</v>
      </c>
      <c r="E47" s="26"/>
      <c r="F47" s="28">
        <f t="shared" ref="F47:F59" si="8">IFERROR(C47/$C$46,"na")</f>
        <v>0.7</v>
      </c>
      <c r="G47" s="28">
        <f t="shared" ref="G47:G59" si="9">IFERROR(D47/$D$46,"na")</f>
        <v>0.7</v>
      </c>
      <c r="I47" s="43">
        <v>1</v>
      </c>
      <c r="J47" s="43">
        <f t="shared" si="2"/>
        <v>1.36</v>
      </c>
      <c r="L47" s="44">
        <f t="shared" si="3"/>
        <v>0.36</v>
      </c>
    </row>
    <row r="48" spans="2:12" ht="15" thickBot="1" x14ac:dyDescent="0.35">
      <c r="B48" s="7" t="s">
        <v>78</v>
      </c>
      <c r="C48" s="71">
        <f>C46-C47</f>
        <v>1500000</v>
      </c>
      <c r="D48" s="71">
        <f>D46-D47</f>
        <v>2040000</v>
      </c>
      <c r="E48" s="26"/>
      <c r="F48" s="30">
        <f t="shared" si="8"/>
        <v>0.3</v>
      </c>
      <c r="G48" s="30">
        <f t="shared" si="9"/>
        <v>0.3</v>
      </c>
      <c r="I48" s="39">
        <v>1</v>
      </c>
      <c r="J48" s="39">
        <f t="shared" si="2"/>
        <v>1.36</v>
      </c>
      <c r="L48" s="49">
        <f t="shared" si="3"/>
        <v>0.36</v>
      </c>
    </row>
    <row r="49" spans="2:12" ht="15" thickTop="1" x14ac:dyDescent="0.3">
      <c r="B49" s="7" t="s">
        <v>79</v>
      </c>
      <c r="C49" s="5">
        <f>'Trial Balance Previous Year'!G29</f>
        <v>144000</v>
      </c>
      <c r="D49" s="5">
        <f>'Trial Balance Current year'!G29</f>
        <v>144000</v>
      </c>
      <c r="F49" s="28">
        <f t="shared" si="8"/>
        <v>2.8799999999999999E-2</v>
      </c>
      <c r="G49" s="28">
        <f t="shared" si="9"/>
        <v>2.1176470588235293E-2</v>
      </c>
      <c r="I49" s="43">
        <v>1</v>
      </c>
      <c r="J49" s="43">
        <f t="shared" si="2"/>
        <v>1</v>
      </c>
      <c r="L49" s="44">
        <f t="shared" si="3"/>
        <v>0</v>
      </c>
    </row>
    <row r="50" spans="2:12" ht="15" thickBot="1" x14ac:dyDescent="0.35">
      <c r="B50" s="7" t="s">
        <v>81</v>
      </c>
      <c r="C50" s="5">
        <f>'Trial Balance Previous Year'!G30</f>
        <v>250000</v>
      </c>
      <c r="D50" s="5">
        <f>'Trial Balance Current year'!G30</f>
        <v>5000</v>
      </c>
      <c r="F50" s="28">
        <f t="shared" si="8"/>
        <v>0.05</v>
      </c>
      <c r="G50" s="28">
        <f t="shared" si="9"/>
        <v>7.3529411764705881E-4</v>
      </c>
      <c r="I50" s="43">
        <v>1</v>
      </c>
      <c r="J50" s="43">
        <f t="shared" si="2"/>
        <v>0.02</v>
      </c>
      <c r="L50" s="44">
        <f>IFERROR((D50-C50)/C50,"na")</f>
        <v>-0.98</v>
      </c>
    </row>
    <row r="51" spans="2:12" ht="29.4" thickBot="1" x14ac:dyDescent="0.35">
      <c r="B51" s="22" t="s">
        <v>100</v>
      </c>
      <c r="C51" s="71">
        <f>C48-C49-C50</f>
        <v>1106000</v>
      </c>
      <c r="D51" s="71">
        <f>D48-D49-D50</f>
        <v>1891000</v>
      </c>
      <c r="F51" s="30">
        <f t="shared" si="8"/>
        <v>0.22120000000000001</v>
      </c>
      <c r="G51" s="30">
        <f t="shared" si="9"/>
        <v>0.27808823529411764</v>
      </c>
      <c r="I51" s="39">
        <v>1</v>
      </c>
      <c r="J51" s="39">
        <f t="shared" si="2"/>
        <v>1.709764918625678</v>
      </c>
      <c r="L51" s="49">
        <f t="shared" si="3"/>
        <v>0.70976491862567814</v>
      </c>
    </row>
    <row r="52" spans="2:12" ht="15.6" thickTop="1" thickBot="1" x14ac:dyDescent="0.35">
      <c r="B52" s="23" t="s">
        <v>82</v>
      </c>
      <c r="C52" s="5">
        <f>'Trial Balance Previous Year'!G31</f>
        <v>62000</v>
      </c>
      <c r="D52" s="5">
        <f>'Trial Balance Current year'!G31</f>
        <v>62000</v>
      </c>
      <c r="F52" s="28">
        <f t="shared" si="8"/>
        <v>1.24E-2</v>
      </c>
      <c r="G52" s="28">
        <f t="shared" si="9"/>
        <v>9.1176470588235289E-3</v>
      </c>
      <c r="I52" s="43">
        <v>1</v>
      </c>
      <c r="J52" s="43">
        <f t="shared" si="2"/>
        <v>1</v>
      </c>
      <c r="L52" s="44">
        <f t="shared" si="3"/>
        <v>0</v>
      </c>
    </row>
    <row r="53" spans="2:12" ht="15" thickBot="1" x14ac:dyDescent="0.35">
      <c r="B53" s="22" t="s">
        <v>101</v>
      </c>
      <c r="C53" s="71">
        <f>C51-C52</f>
        <v>1044000</v>
      </c>
      <c r="D53" s="71">
        <f>D51-D52</f>
        <v>1829000</v>
      </c>
      <c r="F53" s="30">
        <f t="shared" si="8"/>
        <v>0.20880000000000001</v>
      </c>
      <c r="G53" s="30">
        <f t="shared" si="9"/>
        <v>0.26897058823529413</v>
      </c>
      <c r="I53" s="39">
        <v>1</v>
      </c>
      <c r="J53" s="39">
        <f t="shared" si="2"/>
        <v>1.7519157088122606</v>
      </c>
      <c r="L53" s="49">
        <f t="shared" si="3"/>
        <v>0.75191570881226055</v>
      </c>
    </row>
    <row r="54" spans="2:12" ht="15" thickTop="1" x14ac:dyDescent="0.3">
      <c r="B54" s="7" t="s">
        <v>83</v>
      </c>
      <c r="C54" s="5">
        <f>'Trial Balance Previous Year'!H32</f>
        <v>0</v>
      </c>
      <c r="D54" s="5">
        <f>'Trial Balance Current year'!H32</f>
        <v>250000</v>
      </c>
      <c r="F54" s="28">
        <f t="shared" si="8"/>
        <v>0</v>
      </c>
      <c r="G54" s="28">
        <f t="shared" si="9"/>
        <v>3.6764705882352942E-2</v>
      </c>
      <c r="I54" s="43">
        <v>1</v>
      </c>
      <c r="J54" s="44" t="str">
        <f t="shared" si="2"/>
        <v>na</v>
      </c>
      <c r="L54" s="44" t="str">
        <f t="shared" si="3"/>
        <v>na</v>
      </c>
    </row>
    <row r="55" spans="2:12" x14ac:dyDescent="0.3">
      <c r="B55" s="7" t="s">
        <v>80</v>
      </c>
      <c r="C55" s="5">
        <f>'Trial Balance Previous Year'!G33</f>
        <v>0</v>
      </c>
      <c r="D55" s="5">
        <f>'Trial Balance Current year'!G33</f>
        <v>1000000</v>
      </c>
      <c r="F55" s="28">
        <f t="shared" si="8"/>
        <v>0</v>
      </c>
      <c r="G55" s="28">
        <f t="shared" si="9"/>
        <v>0.14705882352941177</v>
      </c>
      <c r="I55" s="43">
        <v>1</v>
      </c>
      <c r="J55" s="44" t="str">
        <f t="shared" si="2"/>
        <v>na</v>
      </c>
      <c r="L55" s="44" t="str">
        <f t="shared" si="3"/>
        <v>na</v>
      </c>
    </row>
    <row r="56" spans="2:12" ht="15" thickBot="1" x14ac:dyDescent="0.35">
      <c r="B56" s="7" t="s">
        <v>84</v>
      </c>
      <c r="C56" s="5">
        <f>'Trial Balance Previous Year'!H34-'Trial Balance Previous Year'!G35</f>
        <v>0</v>
      </c>
      <c r="D56" s="5">
        <f>'Trial Balance Current year'!H34-'Trial Balance Current year'!G35</f>
        <v>500000</v>
      </c>
      <c r="E56" s="26"/>
      <c r="F56" s="28">
        <f t="shared" si="8"/>
        <v>0</v>
      </c>
      <c r="G56" s="28">
        <f t="shared" si="9"/>
        <v>7.3529411764705885E-2</v>
      </c>
      <c r="I56" s="43">
        <v>1</v>
      </c>
      <c r="J56" s="44" t="str">
        <f t="shared" si="2"/>
        <v>na</v>
      </c>
      <c r="L56" s="44" t="str">
        <f t="shared" si="3"/>
        <v>na</v>
      </c>
    </row>
    <row r="57" spans="2:12" ht="15" thickBot="1" x14ac:dyDescent="0.35">
      <c r="B57" s="8" t="s">
        <v>85</v>
      </c>
      <c r="C57" s="71">
        <f>C53+C54-C55+C56</f>
        <v>1044000</v>
      </c>
      <c r="D57" s="71">
        <f>D53+D54-D55+D56</f>
        <v>1579000</v>
      </c>
      <c r="F57" s="30">
        <f t="shared" si="8"/>
        <v>0.20880000000000001</v>
      </c>
      <c r="G57" s="30">
        <f t="shared" si="9"/>
        <v>0.23220588235294118</v>
      </c>
      <c r="I57" s="39">
        <v>1</v>
      </c>
      <c r="J57" s="39">
        <f>IFERROR(D57/C57,"na")</f>
        <v>1.5124521072796935</v>
      </c>
      <c r="L57" s="49">
        <f t="shared" si="3"/>
        <v>0.51245210727969348</v>
      </c>
    </row>
    <row r="58" spans="2:12" ht="15.6" thickTop="1" thickBot="1" x14ac:dyDescent="0.35">
      <c r="B58" s="7" t="s">
        <v>98</v>
      </c>
      <c r="C58" s="5">
        <f>C57*0.4</f>
        <v>417600</v>
      </c>
      <c r="D58" s="5">
        <f>D57*0.4</f>
        <v>631600</v>
      </c>
      <c r="F58" s="28">
        <f t="shared" si="8"/>
        <v>8.3519999999999997E-2</v>
      </c>
      <c r="G58" s="28">
        <f t="shared" si="9"/>
        <v>9.2882352941176471E-2</v>
      </c>
      <c r="I58" s="43">
        <v>1</v>
      </c>
      <c r="J58" s="43">
        <f>IFERROR(D58/C58,"na")</f>
        <v>1.5124521072796935</v>
      </c>
      <c r="L58" s="44">
        <f t="shared" si="3"/>
        <v>0.51245210727969348</v>
      </c>
    </row>
    <row r="59" spans="2:12" ht="15" thickBot="1" x14ac:dyDescent="0.35">
      <c r="B59" s="8" t="s">
        <v>87</v>
      </c>
      <c r="C59" s="72">
        <f>C57-C58</f>
        <v>626400</v>
      </c>
      <c r="D59" s="72">
        <f>D57-D58</f>
        <v>947400</v>
      </c>
      <c r="F59" s="30">
        <f t="shared" si="8"/>
        <v>0.12528</v>
      </c>
      <c r="G59" s="30">
        <f t="shared" si="9"/>
        <v>0.13932352941176471</v>
      </c>
      <c r="I59" s="39">
        <v>1</v>
      </c>
      <c r="J59" s="39">
        <f t="shared" si="2"/>
        <v>1.5124521072796935</v>
      </c>
      <c r="L59" s="49">
        <f t="shared" si="3"/>
        <v>0.51245210727969348</v>
      </c>
    </row>
    <row r="60" spans="2:12" ht="15" thickTop="1" x14ac:dyDescent="0.3">
      <c r="L60" s="32"/>
    </row>
    <row r="61" spans="2:12" ht="21" x14ac:dyDescent="0.3">
      <c r="B61" s="54" t="s">
        <v>106</v>
      </c>
      <c r="C61" s="55"/>
      <c r="D61" s="56"/>
      <c r="E61" s="57"/>
      <c r="F61" s="57"/>
      <c r="G61" s="57"/>
      <c r="H61" s="57"/>
      <c r="I61" s="57"/>
      <c r="J61" s="57"/>
      <c r="K61" s="57"/>
      <c r="L61" s="58"/>
    </row>
    <row r="62" spans="2:12" x14ac:dyDescent="0.3">
      <c r="B62" s="76" t="s">
        <v>108</v>
      </c>
      <c r="D62" s="45"/>
      <c r="L62" s="32"/>
    </row>
    <row r="63" spans="2:12" ht="15" thickBot="1" x14ac:dyDescent="0.35">
      <c r="L63" s="32"/>
    </row>
    <row r="64" spans="2:12" ht="15" thickBot="1" x14ac:dyDescent="0.35">
      <c r="B64" s="48" t="s">
        <v>107</v>
      </c>
      <c r="C64" s="73">
        <f>C12-C29</f>
        <v>3078400</v>
      </c>
      <c r="D64" s="73">
        <f>D12-D29</f>
        <v>4087800</v>
      </c>
      <c r="I64" s="74">
        <v>1</v>
      </c>
      <c r="J64" s="74">
        <f t="shared" ref="J64" si="10">IFERROR(D64/C64,"na")</f>
        <v>1.3278976091476091</v>
      </c>
      <c r="L64" s="75">
        <f t="shared" ref="L64" si="11">IFERROR((D64-C64)/C64,"na")</f>
        <v>0.32789760914760913</v>
      </c>
    </row>
    <row r="65" spans="2:12" ht="15.6" thickTop="1" thickBot="1" x14ac:dyDescent="0.35"/>
    <row r="66" spans="2:12" ht="21" thickBot="1" x14ac:dyDescent="0.35">
      <c r="B66" s="77" t="s">
        <v>109</v>
      </c>
      <c r="C66" s="79">
        <f>C12/C29</f>
        <v>3.2755765819041986</v>
      </c>
      <c r="D66" s="79">
        <f>D12/D29</f>
        <v>2.1902515723270439</v>
      </c>
      <c r="I66" s="74">
        <v>1</v>
      </c>
      <c r="J66" s="75">
        <f t="shared" ref="J66" si="12">IFERROR(D66/C66,"na")</f>
        <v>0.66866138451074764</v>
      </c>
      <c r="L66" s="75">
        <f t="shared" ref="L66" si="13">IFERROR((D66-C66)/C66,"na")</f>
        <v>-0.33133861548925231</v>
      </c>
    </row>
    <row r="67" spans="2:12" ht="15.6" thickTop="1" thickBot="1" x14ac:dyDescent="0.35">
      <c r="C67" s="80"/>
      <c r="D67" s="80"/>
      <c r="J67" s="32"/>
    </row>
    <row r="68" spans="2:12" ht="21" thickBot="1" x14ac:dyDescent="0.35">
      <c r="B68" s="77" t="s">
        <v>111</v>
      </c>
      <c r="C68" s="81">
        <f>(C6+C7+C8+C9)/C29</f>
        <v>1.7232406859846245</v>
      </c>
      <c r="D68" s="81">
        <f>(D6+D7+D8+D9)/D29</f>
        <v>1.6603191241556021</v>
      </c>
      <c r="I68" s="74">
        <v>1</v>
      </c>
      <c r="J68" s="75">
        <f t="shared" ref="J68" si="14">IFERROR(D68/C68,"na")</f>
        <v>0.96348649243209439</v>
      </c>
      <c r="L68" s="75">
        <f t="shared" ref="L68" si="15">IFERROR((D68-C68)/C68,"na")</f>
        <v>-3.6513507567905598E-2</v>
      </c>
    </row>
    <row r="69" spans="2:12" ht="21" thickTop="1" x14ac:dyDescent="0.3">
      <c r="B69" s="78" t="s">
        <v>110</v>
      </c>
      <c r="C69" s="80"/>
      <c r="D69" s="80"/>
    </row>
    <row r="70" spans="2:12" ht="15" thickBot="1" x14ac:dyDescent="0.35">
      <c r="C70" s="80"/>
      <c r="D70" s="80"/>
    </row>
    <row r="71" spans="2:12" ht="21" thickBot="1" x14ac:dyDescent="0.35">
      <c r="B71" s="77" t="s">
        <v>112</v>
      </c>
      <c r="C71" s="81">
        <f>(C6+C7)/C29</f>
        <v>0.76227084565345948</v>
      </c>
      <c r="D71" s="81">
        <f>(D6+D7)/D29</f>
        <v>0.44030980666200792</v>
      </c>
      <c r="I71" s="74">
        <v>1</v>
      </c>
      <c r="J71" s="75">
        <f t="shared" ref="J71" si="16">IFERROR(D71/C71,"na")</f>
        <v>0.57762907918188933</v>
      </c>
      <c r="L71" s="75">
        <f t="shared" ref="L71" si="17">IFERROR((D71-C71)/C71,"na")</f>
        <v>-0.42237092081811062</v>
      </c>
    </row>
    <row r="72" spans="2:12" ht="15" thickTop="1" x14ac:dyDescent="0.3">
      <c r="B72" s="21" t="s">
        <v>113</v>
      </c>
      <c r="C72" s="80"/>
      <c r="D72" s="80"/>
    </row>
    <row r="73" spans="2:12" ht="15" thickBot="1" x14ac:dyDescent="0.35">
      <c r="C73" s="80"/>
      <c r="D73" s="80"/>
    </row>
    <row r="74" spans="2:12" ht="21" thickBot="1" x14ac:dyDescent="0.35">
      <c r="B74" s="77" t="s">
        <v>114</v>
      </c>
      <c r="C74" s="81"/>
      <c r="D74" s="81"/>
      <c r="I74" s="74"/>
      <c r="J74" s="75" t="str">
        <f t="shared" ref="J74" si="18">IFERROR(D74/C74,"na")</f>
        <v>na</v>
      </c>
      <c r="L74" s="75" t="str">
        <f t="shared" ref="L74" si="19">IFERROR((D74-C74)/C74,"na")</f>
        <v>na</v>
      </c>
    </row>
    <row r="75" spans="2:12" ht="15.6" thickTop="1" thickBot="1" x14ac:dyDescent="0.35">
      <c r="C75" s="80"/>
      <c r="D75" s="80"/>
    </row>
    <row r="76" spans="2:12" ht="21" thickBot="1" x14ac:dyDescent="0.35">
      <c r="B76" s="77" t="s">
        <v>115</v>
      </c>
      <c r="C76" s="81">
        <f>(C12-C29)/C19</f>
        <v>0.61210530501869087</v>
      </c>
      <c r="D76" s="81">
        <f>(D12-D29)/D19</f>
        <v>0.50728450522449187</v>
      </c>
      <c r="I76" s="74">
        <v>1</v>
      </c>
      <c r="J76" s="75">
        <f t="shared" ref="J76" si="20">IFERROR(D76/C76,"na")</f>
        <v>0.82875364919276717</v>
      </c>
      <c r="L76" s="75">
        <f t="shared" ref="L76" si="21">IFERROR((D76-C76)/C76,"na")</f>
        <v>-0.17124635080723286</v>
      </c>
    </row>
    <row r="77" spans="2:12" ht="15" thickTop="1" x14ac:dyDescent="0.3">
      <c r="B77" s="21" t="s">
        <v>116</v>
      </c>
      <c r="C77" s="80"/>
      <c r="D77" s="80"/>
    </row>
    <row r="78" spans="2:12" x14ac:dyDescent="0.3">
      <c r="C78" s="80"/>
      <c r="D78" s="80"/>
    </row>
    <row r="79" spans="2:12" ht="21" x14ac:dyDescent="0.3">
      <c r="B79" s="54" t="s">
        <v>117</v>
      </c>
      <c r="C79" s="80"/>
      <c r="D79" s="80"/>
    </row>
    <row r="80" spans="2:12" x14ac:dyDescent="0.3">
      <c r="B80" s="76" t="s">
        <v>118</v>
      </c>
      <c r="C80" s="80"/>
      <c r="D80" s="80"/>
    </row>
    <row r="81" spans="2:12" x14ac:dyDescent="0.3">
      <c r="C81" s="80"/>
      <c r="D81" s="80"/>
    </row>
    <row r="82" spans="2:12" x14ac:dyDescent="0.3">
      <c r="B82" s="8" t="s">
        <v>119</v>
      </c>
      <c r="C82" s="80"/>
      <c r="D82" s="80"/>
    </row>
    <row r="83" spans="2:12" ht="15" thickBot="1" x14ac:dyDescent="0.35">
      <c r="C83" s="80"/>
      <c r="D83" s="80"/>
    </row>
    <row r="84" spans="2:12" ht="21" thickBot="1" x14ac:dyDescent="0.35">
      <c r="B84" s="77" t="s">
        <v>120</v>
      </c>
      <c r="C84" s="81">
        <f>C36/C43</f>
        <v>0.26898910363477291</v>
      </c>
      <c r="D84" s="81">
        <f>D36/D43</f>
        <v>0.42619939936958628</v>
      </c>
      <c r="I84" s="74">
        <v>1</v>
      </c>
      <c r="J84" s="75">
        <f t="shared" ref="J84" si="22">IFERROR(D84/C84,"na")</f>
        <v>1.5844485654269098</v>
      </c>
      <c r="L84" s="75">
        <f t="shared" ref="L84" si="23">IFERROR((D84-C84)/C84,"na")</f>
        <v>0.58444856542690971</v>
      </c>
    </row>
    <row r="85" spans="2:12" ht="15" thickTop="1" x14ac:dyDescent="0.3">
      <c r="C85" s="80"/>
      <c r="D85" s="80"/>
    </row>
    <row r="86" spans="2:12" ht="15" thickBot="1" x14ac:dyDescent="0.35">
      <c r="C86" s="80"/>
      <c r="D86" s="80"/>
    </row>
    <row r="87" spans="2:12" ht="21" thickBot="1" x14ac:dyDescent="0.35">
      <c r="B87" s="77" t="s">
        <v>121</v>
      </c>
      <c r="C87" s="81">
        <f>C36/C42</f>
        <v>0.36796866499836794</v>
      </c>
      <c r="D87" s="81">
        <f>D36/D42</f>
        <v>0.74276569055755004</v>
      </c>
      <c r="I87" s="74">
        <v>1</v>
      </c>
      <c r="J87" s="75">
        <f t="shared" ref="J87" si="24">IFERROR(D87/C87,"na")</f>
        <v>2.0185569077215977</v>
      </c>
      <c r="L87" s="75">
        <f t="shared" ref="L87" si="25">IFERROR((D87-C87)/C87,"na")</f>
        <v>1.0185569077215975</v>
      </c>
    </row>
    <row r="88" spans="2:12" ht="15" thickTop="1" x14ac:dyDescent="0.3">
      <c r="C88" s="80"/>
      <c r="D88" s="80"/>
    </row>
    <row r="89" spans="2:12" ht="15" thickBot="1" x14ac:dyDescent="0.35">
      <c r="C89" s="80"/>
      <c r="D89" s="80"/>
    </row>
    <row r="90" spans="2:12" ht="21" thickBot="1" x14ac:dyDescent="0.35">
      <c r="B90" s="77" t="s">
        <v>122</v>
      </c>
      <c r="C90" s="81">
        <f>C35/C42</f>
        <v>0</v>
      </c>
      <c r="D90" s="81">
        <f>D35/D42</f>
        <v>0</v>
      </c>
      <c r="I90" s="74">
        <v>1</v>
      </c>
      <c r="J90" s="75" t="str">
        <f t="shared" ref="J90" si="26">IFERROR(D90/C90,"na")</f>
        <v>na</v>
      </c>
      <c r="L90" s="75" t="str">
        <f t="shared" ref="L90" si="27">IFERROR((D90-C90)/C90,"na")</f>
        <v>na</v>
      </c>
    </row>
    <row r="91" spans="2:12" ht="15" thickTop="1" x14ac:dyDescent="0.3">
      <c r="C91" s="80"/>
      <c r="D91" s="80"/>
    </row>
    <row r="92" spans="2:12" ht="15" thickBot="1" x14ac:dyDescent="0.35">
      <c r="C92" s="80"/>
      <c r="D92" s="80"/>
    </row>
    <row r="93" spans="2:12" ht="21" thickBot="1" x14ac:dyDescent="0.35">
      <c r="B93" s="77" t="s">
        <v>123</v>
      </c>
      <c r="C93" s="81">
        <f>C36/C19</f>
        <v>0.26898910363477291</v>
      </c>
      <c r="D93" s="81">
        <f>D36/D19</f>
        <v>0.42619939936958628</v>
      </c>
      <c r="I93" s="74">
        <v>1</v>
      </c>
      <c r="J93" s="75">
        <f>IFERROR(D93/C93,"na")</f>
        <v>1.5844485654269098</v>
      </c>
      <c r="L93" s="75">
        <f t="shared" ref="L93" si="28">IFERROR((D93-C93)/C93,"na")</f>
        <v>0.58444856542690971</v>
      </c>
    </row>
    <row r="94" spans="2:12" ht="15" thickTop="1" x14ac:dyDescent="0.3"/>
    <row r="95" spans="2:12" x14ac:dyDescent="0.3">
      <c r="C95" s="80"/>
    </row>
    <row r="96" spans="2:12" x14ac:dyDescent="0.3">
      <c r="B96" s="8" t="s">
        <v>124</v>
      </c>
    </row>
    <row r="97" spans="2:12" ht="15" thickBot="1" x14ac:dyDescent="0.35"/>
    <row r="98" spans="2:12" ht="21" thickBot="1" x14ac:dyDescent="0.35">
      <c r="B98" s="77" t="s">
        <v>125</v>
      </c>
      <c r="C98" s="79" t="str">
        <f>IFERROR(C53/C55,"na")</f>
        <v>na</v>
      </c>
      <c r="D98" s="81">
        <f>IFERROR(D53/D55,"NA")</f>
        <v>1.829</v>
      </c>
      <c r="I98" s="74">
        <v>1</v>
      </c>
      <c r="J98" s="75" t="str">
        <f>IFERROR(D98/C98,"na")</f>
        <v>na</v>
      </c>
      <c r="L98" s="75" t="str">
        <f t="shared" ref="L98" si="29">IFERROR((D98-C98)/C98,"na")</f>
        <v>na</v>
      </c>
    </row>
    <row r="99" spans="2:12" ht="15" thickTop="1" x14ac:dyDescent="0.3"/>
  </sheetData>
  <mergeCells count="4">
    <mergeCell ref="D1:D2"/>
    <mergeCell ref="C1:C2"/>
    <mergeCell ref="I2:J2"/>
    <mergeCell ref="A1:B2"/>
  </mergeCells>
  <conditionalFormatting sqref="C44:D44">
    <cfRule type="cellIs" dxfId="9" priority="13" operator="equal">
      <formula>TRUE</formula>
    </cfRule>
    <cfRule type="cellIs" dxfId="8" priority="14" operator="equal">
      <formula>FALSE</formula>
    </cfRule>
  </conditionalFormatting>
  <conditionalFormatting sqref="C41">
    <cfRule type="cellIs" dxfId="7" priority="11" operator="lessThan">
      <formula>0</formula>
    </cfRule>
    <cfRule type="cellIs" dxfId="6" priority="12" operator="greaterThan">
      <formula>0</formula>
    </cfRule>
  </conditionalFormatting>
  <conditionalFormatting sqref="C59">
    <cfRule type="cellIs" dxfId="5" priority="9" operator="lessThan">
      <formula>0</formula>
    </cfRule>
    <cfRule type="cellIs" dxfId="4" priority="10" operator="greaterThan">
      <formula>0</formula>
    </cfRule>
  </conditionalFormatting>
  <conditionalFormatting sqref="D41">
    <cfRule type="cellIs" dxfId="3" priority="7" operator="lessThan">
      <formula>0</formula>
    </cfRule>
    <cfRule type="cellIs" dxfId="2" priority="8" operator="greaterThan">
      <formula>0</formula>
    </cfRule>
  </conditionalFormatting>
  <conditionalFormatting sqref="D59">
    <cfRule type="cellIs" dxfId="1" priority="5" operator="lessThan">
      <formula>0</formula>
    </cfRule>
    <cfRule type="cellIs" dxfId="0" priority="6" operator="greaterThan">
      <formula>0</formula>
    </cfRule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Instructions</vt:lpstr>
      <vt:lpstr>Trial Balance Previous Year</vt:lpstr>
      <vt:lpstr>Trial Balance Current year</vt:lpstr>
      <vt:lpstr>Liquidity &amp; Solvency Ratios</vt:lpstr>
      <vt:lpstr>Net_Working_Capital___Current_Assets___Current_Liability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Faysal</dc:creator>
  <cp:lastModifiedBy>Faysal</cp:lastModifiedBy>
  <dcterms:created xsi:type="dcterms:W3CDTF">2025-01-24T21:29:10Z</dcterms:created>
  <dcterms:modified xsi:type="dcterms:W3CDTF">2025-02-16T00:19:13Z</dcterms:modified>
</cp:coreProperties>
</file>