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ysal\Desktop\Management Accounting in Excel\"/>
    </mc:Choice>
  </mc:AlternateContent>
  <bookViews>
    <workbookView xWindow="0" yWindow="0" windowWidth="23040" windowHeight="9264" activeTab="3"/>
  </bookViews>
  <sheets>
    <sheet name="Instructions" sheetId="3" r:id="rId1"/>
    <sheet name="Trial Balance Previous Year" sheetId="2" r:id="rId2"/>
    <sheet name="Trial Balance Current year" sheetId="4" r:id="rId3"/>
    <sheet name="Liquidity,Solvency" sheetId="1" r:id="rId4"/>
    <sheet name="Definitions" sheetId="5" r:id="rId5"/>
  </sheets>
  <definedNames>
    <definedName name="Net_Working_Capital___Current_Assets___Current_Liability" comment="tttt">'Liquidity,Solvency'!$B$64</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8" i="1" l="1"/>
  <c r="J98" i="1"/>
  <c r="J93" i="1"/>
  <c r="D98" i="1"/>
  <c r="L98" i="1" l="1"/>
  <c r="C87" i="1"/>
  <c r="C90" i="1"/>
  <c r="L93" i="1"/>
  <c r="D93" i="1"/>
  <c r="C93" i="1"/>
  <c r="L90" i="1"/>
  <c r="J90" i="1"/>
  <c r="L87" i="1"/>
  <c r="J87" i="1"/>
  <c r="L84" i="1"/>
  <c r="J84" i="1"/>
  <c r="L76" i="1"/>
  <c r="J76" i="1"/>
  <c r="L74" i="1"/>
  <c r="J74" i="1"/>
  <c r="L71" i="1"/>
  <c r="J71" i="1"/>
  <c r="L68" i="1"/>
  <c r="J68" i="1"/>
  <c r="L66" i="1"/>
  <c r="J66" i="1"/>
  <c r="D90" i="1"/>
  <c r="D87" i="1"/>
  <c r="D84" i="1"/>
  <c r="C84" i="1"/>
  <c r="C76" i="1"/>
  <c r="D76" i="1"/>
  <c r="D71" i="1"/>
  <c r="C71" i="1"/>
  <c r="D68" i="1"/>
  <c r="C68" i="1"/>
  <c r="L30" i="1" l="1"/>
  <c r="L37" i="1"/>
  <c r="J30" i="1"/>
  <c r="J37" i="1"/>
  <c r="F3" i="4"/>
  <c r="F18" i="4"/>
  <c r="E4" i="4"/>
  <c r="E28" i="4"/>
  <c r="F7" i="4"/>
  <c r="E5" i="4"/>
  <c r="E3" i="4"/>
  <c r="F27" i="4"/>
  <c r="E7" i="4"/>
  <c r="E13" i="4"/>
  <c r="D56" i="1"/>
  <c r="C56" i="1"/>
  <c r="D52" i="1"/>
  <c r="F11" i="4"/>
  <c r="G31" i="4"/>
  <c r="H11" i="2"/>
  <c r="C16" i="1"/>
  <c r="C52" i="1"/>
  <c r="F52" i="1" s="1"/>
  <c r="E29" i="4"/>
  <c r="G28" i="4"/>
  <c r="D47" i="1" s="1"/>
  <c r="F13" i="4"/>
  <c r="H13" i="4" s="1"/>
  <c r="D23" i="1" s="1"/>
  <c r="D55" i="1"/>
  <c r="D54" i="1"/>
  <c r="H11" i="4"/>
  <c r="D16" i="1" s="1"/>
  <c r="L16" i="1" s="1"/>
  <c r="D38" i="1"/>
  <c r="D32" i="1"/>
  <c r="J32" i="1" s="1"/>
  <c r="D26" i="1"/>
  <c r="D27" i="1"/>
  <c r="D15" i="1"/>
  <c r="D14" i="1"/>
  <c r="E10" i="2"/>
  <c r="H24" i="4"/>
  <c r="D39" i="1" s="1"/>
  <c r="H25" i="4"/>
  <c r="D40" i="1" s="1"/>
  <c r="H20" i="4"/>
  <c r="H21" i="4"/>
  <c r="D33" i="1" s="1"/>
  <c r="G10" i="4"/>
  <c r="G12" i="4"/>
  <c r="G6" i="4"/>
  <c r="D9" i="1" s="1"/>
  <c r="J9" i="1" s="1"/>
  <c r="G8" i="4"/>
  <c r="D11" i="1" s="1"/>
  <c r="G35" i="4"/>
  <c r="H34" i="4"/>
  <c r="G33" i="4"/>
  <c r="H32" i="4"/>
  <c r="G30" i="4"/>
  <c r="D50" i="1" s="1"/>
  <c r="L50" i="1" s="1"/>
  <c r="G29" i="4"/>
  <c r="D49" i="1" s="1"/>
  <c r="H27" i="4"/>
  <c r="D46" i="1" s="1"/>
  <c r="L46" i="1" s="1"/>
  <c r="H23" i="4"/>
  <c r="H22" i="4"/>
  <c r="D34" i="1" s="1"/>
  <c r="J34" i="1" s="1"/>
  <c r="H19" i="4"/>
  <c r="D31" i="1" s="1"/>
  <c r="H17" i="4"/>
  <c r="H16" i="4"/>
  <c r="H15" i="4"/>
  <c r="D25" i="1" s="1"/>
  <c r="H14" i="4"/>
  <c r="D24" i="1" s="1"/>
  <c r="G9" i="4"/>
  <c r="G5" i="4"/>
  <c r="D8" i="1" s="1"/>
  <c r="C54" i="1"/>
  <c r="F3" i="2"/>
  <c r="E18" i="2"/>
  <c r="E29" i="2"/>
  <c r="F17" i="2"/>
  <c r="C15" i="1"/>
  <c r="E3" i="2"/>
  <c r="G5" i="2"/>
  <c r="C8" i="1" s="1"/>
  <c r="E7" i="2"/>
  <c r="C55" i="1"/>
  <c r="C50" i="1"/>
  <c r="C40" i="1"/>
  <c r="C39" i="1"/>
  <c r="C32" i="1"/>
  <c r="C33" i="1"/>
  <c r="C34" i="1"/>
  <c r="C31" i="1"/>
  <c r="C24" i="1"/>
  <c r="C25" i="1"/>
  <c r="C26" i="1"/>
  <c r="C14" i="1"/>
  <c r="C18" i="1" s="1"/>
  <c r="F24" i="2"/>
  <c r="F23" i="2"/>
  <c r="G35" i="2"/>
  <c r="H34" i="2"/>
  <c r="G33" i="2"/>
  <c r="H32" i="2"/>
  <c r="G29" i="2"/>
  <c r="C49" i="1" s="1"/>
  <c r="G30" i="2"/>
  <c r="G31" i="2"/>
  <c r="G28" i="2"/>
  <c r="C47" i="1" s="1"/>
  <c r="F47" i="1" s="1"/>
  <c r="H27" i="2"/>
  <c r="C46" i="1" s="1"/>
  <c r="H14" i="2"/>
  <c r="H15" i="2"/>
  <c r="H16" i="2"/>
  <c r="H17" i="2"/>
  <c r="C27" i="1" s="1"/>
  <c r="H19" i="2"/>
  <c r="H20" i="2"/>
  <c r="H21" i="2"/>
  <c r="H22" i="2"/>
  <c r="H24" i="2"/>
  <c r="H25" i="2"/>
  <c r="H26" i="2"/>
  <c r="H13" i="2"/>
  <c r="C23" i="1" s="1"/>
  <c r="G4" i="2"/>
  <c r="C7" i="1" s="1"/>
  <c r="G6" i="2"/>
  <c r="C9" i="1" s="1"/>
  <c r="G7" i="2"/>
  <c r="C10" i="1" s="1"/>
  <c r="G8" i="2"/>
  <c r="C11" i="1" s="1"/>
  <c r="G9" i="2"/>
  <c r="G12" i="2"/>
  <c r="C17" i="1" s="1"/>
  <c r="L17" i="1" s="1"/>
  <c r="L56" i="1" l="1"/>
  <c r="F55" i="1"/>
  <c r="L31" i="1"/>
  <c r="J40" i="1"/>
  <c r="L39" i="1"/>
  <c r="L33" i="1"/>
  <c r="F49" i="1"/>
  <c r="L34" i="1"/>
  <c r="L8" i="1"/>
  <c r="L11" i="1"/>
  <c r="J54" i="1"/>
  <c r="J56" i="1"/>
  <c r="J17" i="1"/>
  <c r="L55" i="1"/>
  <c r="J50" i="1"/>
  <c r="J16" i="1"/>
  <c r="J14" i="1"/>
  <c r="L32" i="1"/>
  <c r="J24" i="1"/>
  <c r="G49" i="1"/>
  <c r="L15" i="1"/>
  <c r="L23" i="1"/>
  <c r="J49" i="1"/>
  <c r="L9" i="1"/>
  <c r="J25" i="1"/>
  <c r="J27" i="1"/>
  <c r="L47" i="1"/>
  <c r="J52" i="1"/>
  <c r="J39" i="1"/>
  <c r="L52" i="1"/>
  <c r="J33" i="1"/>
  <c r="J26" i="1"/>
  <c r="F56" i="1"/>
  <c r="J31" i="1"/>
  <c r="L27" i="1"/>
  <c r="J23" i="1"/>
  <c r="L26" i="1"/>
  <c r="G54" i="1"/>
  <c r="F54" i="1"/>
  <c r="J8" i="1"/>
  <c r="L25" i="1"/>
  <c r="L14" i="1"/>
  <c r="F46" i="1"/>
  <c r="G50" i="1"/>
  <c r="J11" i="1"/>
  <c r="L54" i="1"/>
  <c r="G46" i="1"/>
  <c r="L40" i="1"/>
  <c r="L24" i="1"/>
  <c r="J47" i="1"/>
  <c r="G56" i="1"/>
  <c r="G52" i="1"/>
  <c r="J46" i="1"/>
  <c r="J15" i="1"/>
  <c r="L49" i="1"/>
  <c r="J55" i="1"/>
  <c r="G55" i="1"/>
  <c r="G47" i="1"/>
  <c r="F50" i="1"/>
  <c r="G3" i="4"/>
  <c r="D6" i="1" s="1"/>
  <c r="J6" i="1" s="1"/>
  <c r="D48" i="1"/>
  <c r="D35" i="1"/>
  <c r="C35" i="1"/>
  <c r="D18" i="1"/>
  <c r="G4" i="4"/>
  <c r="D7" i="1" s="1"/>
  <c r="G7" i="4"/>
  <c r="G3" i="2"/>
  <c r="C6" i="1" s="1"/>
  <c r="C48" i="1"/>
  <c r="H23" i="2"/>
  <c r="G10" i="2"/>
  <c r="C51" i="1" l="1"/>
  <c r="F48" i="1"/>
  <c r="L18" i="1"/>
  <c r="J18" i="1"/>
  <c r="J7" i="1"/>
  <c r="L7" i="1"/>
  <c r="L6" i="1"/>
  <c r="L35" i="1"/>
  <c r="J35" i="1"/>
  <c r="D51" i="1"/>
  <c r="L48" i="1"/>
  <c r="J48" i="1"/>
  <c r="G48" i="1"/>
  <c r="C12" i="1"/>
  <c r="D10" i="1"/>
  <c r="C38" i="1"/>
  <c r="C19" i="1" l="1"/>
  <c r="F6" i="1" s="1"/>
  <c r="L10" i="1"/>
  <c r="J10" i="1"/>
  <c r="D53" i="1"/>
  <c r="J51" i="1"/>
  <c r="G51" i="1"/>
  <c r="L51" i="1"/>
  <c r="J38" i="1"/>
  <c r="L38" i="1"/>
  <c r="C53" i="1"/>
  <c r="F51" i="1"/>
  <c r="F19" i="1"/>
  <c r="F9" i="1"/>
  <c r="F10" i="1"/>
  <c r="F18" i="1"/>
  <c r="F7" i="1"/>
  <c r="F17" i="1"/>
  <c r="F16" i="1"/>
  <c r="F14" i="1"/>
  <c r="F15" i="1"/>
  <c r="F12" i="1"/>
  <c r="D12" i="1"/>
  <c r="F11" i="1" l="1"/>
  <c r="F8" i="1"/>
  <c r="D57" i="1"/>
  <c r="G53" i="1"/>
  <c r="J53" i="1"/>
  <c r="L53" i="1"/>
  <c r="J12" i="1"/>
  <c r="L12" i="1"/>
  <c r="C57" i="1"/>
  <c r="F53" i="1"/>
  <c r="D19" i="1"/>
  <c r="G12" i="1" l="1"/>
  <c r="L19" i="1"/>
  <c r="J19" i="1"/>
  <c r="F57" i="1"/>
  <c r="C58" i="1"/>
  <c r="C59" i="1" s="1"/>
  <c r="D58" i="1"/>
  <c r="J57" i="1"/>
  <c r="L57" i="1"/>
  <c r="G57" i="1"/>
  <c r="G17" i="1"/>
  <c r="G19" i="1"/>
  <c r="G14" i="1"/>
  <c r="G8" i="1"/>
  <c r="G11" i="1"/>
  <c r="G9" i="1"/>
  <c r="G15" i="1"/>
  <c r="G16" i="1"/>
  <c r="G18" i="1"/>
  <c r="G7" i="1"/>
  <c r="G6" i="1"/>
  <c r="G10" i="1"/>
  <c r="H18" i="4"/>
  <c r="F59" i="1" l="1"/>
  <c r="C41" i="1"/>
  <c r="C42" i="1" s="1"/>
  <c r="J58" i="1"/>
  <c r="L58" i="1"/>
  <c r="E36" i="4"/>
  <c r="G58" i="1"/>
  <c r="D59" i="1"/>
  <c r="F58" i="1"/>
  <c r="F18" i="2"/>
  <c r="E36" i="2"/>
  <c r="D28" i="1"/>
  <c r="G59" i="1" l="1"/>
  <c r="L59" i="1"/>
  <c r="J59" i="1"/>
  <c r="G36" i="4"/>
  <c r="G37" i="4" s="1"/>
  <c r="E37" i="4"/>
  <c r="D29" i="1"/>
  <c r="G36" i="2"/>
  <c r="G37" i="2" s="1"/>
  <c r="E37" i="2"/>
  <c r="H18" i="2"/>
  <c r="F37" i="2"/>
  <c r="D41" i="1"/>
  <c r="D64" i="1" l="1"/>
  <c r="D66" i="1"/>
  <c r="D36" i="1"/>
  <c r="J41" i="1"/>
  <c r="L41" i="1"/>
  <c r="C28" i="1"/>
  <c r="H37" i="2"/>
  <c r="H41" i="2" s="1"/>
  <c r="E38" i="2"/>
  <c r="G38" i="2" l="1"/>
  <c r="C29" i="1"/>
  <c r="L28" i="1"/>
  <c r="J28" i="1"/>
  <c r="C66" i="1" l="1"/>
  <c r="C64" i="1"/>
  <c r="C36" i="1"/>
  <c r="L29" i="1"/>
  <c r="J29" i="1"/>
  <c r="J64" i="1" l="1"/>
  <c r="L64" i="1"/>
  <c r="C43" i="1"/>
  <c r="F36" i="1" s="1"/>
  <c r="J36" i="1"/>
  <c r="L36" i="1"/>
  <c r="H26" i="4"/>
  <c r="D42" i="1" s="1"/>
  <c r="F37" i="4"/>
  <c r="E38" i="4" s="1"/>
  <c r="H37" i="4"/>
  <c r="G38" i="4" s="1"/>
  <c r="J42" i="1" l="1"/>
  <c r="L42" i="1"/>
  <c r="F34" i="1"/>
  <c r="F24" i="1"/>
  <c r="C44" i="1"/>
  <c r="F31" i="1"/>
  <c r="F35" i="1"/>
  <c r="F28" i="1"/>
  <c r="F38" i="1"/>
  <c r="F32" i="1"/>
  <c r="F42" i="1"/>
  <c r="F27" i="1"/>
  <c r="F23" i="1"/>
  <c r="F29" i="1"/>
  <c r="F25" i="1"/>
  <c r="F33" i="1"/>
  <c r="F30" i="1"/>
  <c r="F39" i="1"/>
  <c r="F37" i="1"/>
  <c r="F26" i="1"/>
  <c r="F40" i="1"/>
  <c r="F41" i="1"/>
  <c r="F43" i="1"/>
  <c r="D43" i="1"/>
  <c r="L43" i="1" l="1"/>
  <c r="J43" i="1"/>
  <c r="D44" i="1"/>
  <c r="G42" i="1"/>
  <c r="G36" i="1"/>
  <c r="G37" i="1"/>
  <c r="G26" i="1"/>
  <c r="G30" i="1"/>
  <c r="G34" i="1"/>
  <c r="G38" i="1"/>
  <c r="G31" i="1"/>
  <c r="G39" i="1"/>
  <c r="G43" i="1"/>
  <c r="G28" i="1"/>
  <c r="G23" i="1"/>
  <c r="G40" i="1"/>
  <c r="G33" i="1"/>
  <c r="G27" i="1"/>
  <c r="G35" i="1"/>
  <c r="G32" i="1"/>
  <c r="G24" i="1"/>
  <c r="G29" i="1"/>
  <c r="G25" i="1"/>
  <c r="G41" i="1"/>
</calcChain>
</file>

<file path=xl/comments1.xml><?xml version="1.0" encoding="utf-8"?>
<comments xmlns="http://schemas.openxmlformats.org/spreadsheetml/2006/main">
  <authors>
    <author>Faysal</author>
  </authors>
  <commentList>
    <comment ref="B64" authorId="0" shapeId="0">
      <text>
        <r>
          <rPr>
            <b/>
            <sz val="9"/>
            <color indexed="81"/>
            <rFont val="Tahoma"/>
            <family val="2"/>
          </rPr>
          <t xml:space="preserve">Working capital </t>
        </r>
        <r>
          <rPr>
            <sz val="9"/>
            <color indexed="81"/>
            <rFont val="Tahoma"/>
            <family val="2"/>
          </rPr>
          <t xml:space="preserve">is a financial metric that represents the difference between a company's current assets and current liabilities. It is a measure of a company's short-term liquidity and operational efficiency. Working capital is essential for managing day-to-day operations and ensuring that a business can cover its short-term obligations.
</t>
        </r>
        <r>
          <rPr>
            <b/>
            <sz val="9"/>
            <color indexed="81"/>
            <rFont val="Tahoma"/>
            <family val="2"/>
          </rPr>
          <t>Key Components of Working Capital</t>
        </r>
        <r>
          <rPr>
            <sz val="9"/>
            <color indexed="81"/>
            <rFont val="Tahoma"/>
            <family val="2"/>
          </rPr>
          <t xml:space="preserve">:
1.Current Assets: These include cash, accounts receivable, inventory, and other assets expected to be converted into cash or used within one year.
2. Current Liabilities: These include accounts payable, short-term debt, accrued liabilities, and other obligations due within one year.
Formula:
The formula for calculating working capital is:
</t>
        </r>
        <r>
          <rPr>
            <b/>
            <sz val="9"/>
            <color indexed="81"/>
            <rFont val="Tahoma"/>
            <family val="2"/>
          </rPr>
          <t>Working Capital = Current Assets- Current Liabilities</t>
        </r>
        <r>
          <rPr>
            <sz val="9"/>
            <color indexed="81"/>
            <rFont val="Tahoma"/>
            <family val="2"/>
          </rPr>
          <t xml:space="preserve">
Importance of Working Capital:
- </t>
        </r>
        <r>
          <rPr>
            <b/>
            <sz val="9"/>
            <color indexed="81"/>
            <rFont val="Tahoma"/>
            <family val="2"/>
          </rPr>
          <t>Liquidity Management</t>
        </r>
        <r>
          <rPr>
            <sz val="9"/>
            <color indexed="81"/>
            <rFont val="Tahoma"/>
            <family val="2"/>
          </rPr>
          <t xml:space="preserve">: Positive working capital indicates that a company can easily pay off its short-term liabilities, while negative working capital may signal financial difficulties.
- </t>
        </r>
        <r>
          <rPr>
            <b/>
            <sz val="9"/>
            <color indexed="81"/>
            <rFont val="Tahoma"/>
            <family val="2"/>
          </rPr>
          <t>Operational Efficiency</t>
        </r>
        <r>
          <rPr>
            <sz val="9"/>
            <color indexed="81"/>
            <rFont val="Tahoma"/>
            <family val="2"/>
          </rPr>
          <t>: Efficient management of working capital can improve a company's profitability and operational performance.
-</t>
        </r>
        <r>
          <rPr>
            <b/>
            <sz val="9"/>
            <color indexed="81"/>
            <rFont val="Tahoma"/>
            <family val="2"/>
          </rPr>
          <t xml:space="preserve"> Investment in Growth</t>
        </r>
        <r>
          <rPr>
            <sz val="9"/>
            <color indexed="81"/>
            <rFont val="Tahoma"/>
            <family val="2"/>
          </rPr>
          <t xml:space="preserve">: Adequate working capital allows businesses to invest in opportunities for growth without financial strain.
 Additional Insights:
- </t>
        </r>
        <r>
          <rPr>
            <b/>
            <sz val="9"/>
            <color indexed="81"/>
            <rFont val="Tahoma"/>
            <family val="2"/>
          </rPr>
          <t>Working Capital Ratio</t>
        </r>
        <r>
          <rPr>
            <sz val="9"/>
            <color indexed="81"/>
            <rFont val="Tahoma"/>
            <family val="2"/>
          </rPr>
          <t xml:space="preserve">: This ratio (Current Assets / Current Liabilities) provides insights into the liquidity and operational efficiency of a company.
- </t>
        </r>
        <r>
          <rPr>
            <b/>
            <sz val="9"/>
            <color indexed="81"/>
            <rFont val="Tahoma"/>
            <family val="2"/>
          </rPr>
          <t>Seasonal Fluctuations</t>
        </r>
        <r>
          <rPr>
            <sz val="9"/>
            <color indexed="81"/>
            <rFont val="Tahoma"/>
            <family val="2"/>
          </rPr>
          <t xml:space="preserve">: Some businesses experience seasonal fluctuations in working capital needs, requiring careful planning to manage cash flow.
Effective working capital management is crucial for maintaining the financial health of a business and ensuring its ability to meet obligations and invest in growth opportunities.
</t>
        </r>
      </text>
    </comment>
  </commentList>
</comments>
</file>

<file path=xl/sharedStrings.xml><?xml version="1.0" encoding="utf-8"?>
<sst xmlns="http://schemas.openxmlformats.org/spreadsheetml/2006/main" count="302" uniqueCount="175">
  <si>
    <t>Prior Year End</t>
  </si>
  <si>
    <t>Current Year End</t>
  </si>
  <si>
    <t>CURRENT ASSETS:</t>
  </si>
  <si>
    <t xml:space="preserve">   Cash and equivalents</t>
  </si>
  <si>
    <t xml:space="preserve">   Available-for sale securities</t>
  </si>
  <si>
    <t xml:space="preserve">   Accounts receivable (net)</t>
  </si>
  <si>
    <t xml:space="preserve">   Notes receivable</t>
  </si>
  <si>
    <t xml:space="preserve">   Inventories</t>
  </si>
  <si>
    <t xml:space="preserve">   Prepaid expenses</t>
  </si>
  <si>
    <t xml:space="preserve">      Total current assets</t>
  </si>
  <si>
    <t>NONCURRENT ASSETS:</t>
  </si>
  <si>
    <t xml:space="preserve">   Equity-method investments</t>
  </si>
  <si>
    <t xml:space="preserve">   Less: Accum, depreciation</t>
  </si>
  <si>
    <t xml:space="preserve">   Property, plant, &amp; equipment</t>
  </si>
  <si>
    <t xml:space="preserve">   Goodwill</t>
  </si>
  <si>
    <t xml:space="preserve">      Total noncurrent assets</t>
  </si>
  <si>
    <t>Total assets</t>
  </si>
  <si>
    <t>Assets</t>
  </si>
  <si>
    <t>Liabilities and Stockholder's equity</t>
  </si>
  <si>
    <t xml:space="preserve">   Account payable</t>
  </si>
  <si>
    <t>Long-term notes payable</t>
  </si>
  <si>
    <t xml:space="preserve">   Long-term notes payable</t>
  </si>
  <si>
    <t>Employee- related obligations</t>
  </si>
  <si>
    <t>Deferred income taxes</t>
  </si>
  <si>
    <t xml:space="preserve">   Employee- related obligations</t>
  </si>
  <si>
    <t xml:space="preserve">   Deferred income taxes</t>
  </si>
  <si>
    <t xml:space="preserve">      Total noncurrent liabilities</t>
  </si>
  <si>
    <t>CURRENT LIABILITIES:</t>
  </si>
  <si>
    <t>NONCURRENT LIABILITIES:</t>
  </si>
  <si>
    <t>Bonds payables</t>
  </si>
  <si>
    <t>Notes payable</t>
  </si>
  <si>
    <t>Accrued interest on note</t>
  </si>
  <si>
    <t>Current maturities of L.T. debt</t>
  </si>
  <si>
    <t>Accrued salaries and wages</t>
  </si>
  <si>
    <t>Income tax payable</t>
  </si>
  <si>
    <t xml:space="preserve">   Notes payable</t>
  </si>
  <si>
    <t xml:space="preserve">   Accrued interest on note</t>
  </si>
  <si>
    <t xml:space="preserve">   Current maturities of L.T. debt</t>
  </si>
  <si>
    <t xml:space="preserve">   Accrued salaries and wages</t>
  </si>
  <si>
    <t xml:space="preserve">   Income tax payable</t>
  </si>
  <si>
    <t xml:space="preserve">   Bonds payables</t>
  </si>
  <si>
    <t xml:space="preserve">      Total current liabilities</t>
  </si>
  <si>
    <t xml:space="preserve">      Total Liabilities</t>
  </si>
  <si>
    <t>STOCKHOLDERS EQUITY:</t>
  </si>
  <si>
    <t>Preferred stock, $30 par</t>
  </si>
  <si>
    <t>Common stock, $1 par</t>
  </si>
  <si>
    <t>Additional paid-in capital</t>
  </si>
  <si>
    <t>Retained earnings</t>
  </si>
  <si>
    <t xml:space="preserve">      Total stockholder's equity</t>
  </si>
  <si>
    <t>Total Liabilities and Stockholder's equity</t>
  </si>
  <si>
    <t xml:space="preserve">   Preferred stock, $30 par</t>
  </si>
  <si>
    <t xml:space="preserve">   Common stock, $1 par</t>
  </si>
  <si>
    <t xml:space="preserve">   Additional paid-in capital</t>
  </si>
  <si>
    <t xml:space="preserve">   Retained earnings</t>
  </si>
  <si>
    <t>Cash and equivalents</t>
  </si>
  <si>
    <t>Available-for sale securities</t>
  </si>
  <si>
    <t>Accounts receivable (net)</t>
  </si>
  <si>
    <t>Notes receivable</t>
  </si>
  <si>
    <t>Inventories</t>
  </si>
  <si>
    <t>Prepaid expenses</t>
  </si>
  <si>
    <t>Equity-method investments</t>
  </si>
  <si>
    <t>Property, plant, &amp; equipment</t>
  </si>
  <si>
    <t>Goodwill</t>
  </si>
  <si>
    <t>Account payable</t>
  </si>
  <si>
    <t>Accounts</t>
  </si>
  <si>
    <t>Liabilities</t>
  </si>
  <si>
    <t>Stockholder's</t>
  </si>
  <si>
    <t>Sales</t>
  </si>
  <si>
    <t>Revenue</t>
  </si>
  <si>
    <t>Expenses</t>
  </si>
  <si>
    <t>Account Type</t>
  </si>
  <si>
    <t>Debit</t>
  </si>
  <si>
    <t>Credit</t>
  </si>
  <si>
    <t>Description</t>
  </si>
  <si>
    <t>Balance Sheet</t>
  </si>
  <si>
    <t>Income Statement</t>
  </si>
  <si>
    <t>Net sales</t>
  </si>
  <si>
    <t>Cost of goods sold</t>
  </si>
  <si>
    <t>Gross profit</t>
  </si>
  <si>
    <t>SG&amp;A expenses</t>
  </si>
  <si>
    <t>Interest expense</t>
  </si>
  <si>
    <t>R&amp;D</t>
  </si>
  <si>
    <t>Depreciation and amortization</t>
  </si>
  <si>
    <t>Interest Income</t>
  </si>
  <si>
    <t>Other income and Expenses</t>
  </si>
  <si>
    <t>Earning before taxes (EBT)</t>
  </si>
  <si>
    <t>Taxes</t>
  </si>
  <si>
    <t>Net Income</t>
  </si>
  <si>
    <t>Creating a well-structured instructions tab for a financial module focusing on financial ratios is essential for user understanding and effective usage. Below is a suggested outline along with sample content that you can adapt:</t>
  </si>
  <si>
    <t>---</t>
  </si>
  <si>
    <t>## Instructions for Financial Ratios Module</t>
  </si>
  <si>
    <t>### Overview</t>
  </si>
  <si>
    <t>### Key Features</t>
  </si>
  <si>
    <t>- **Comprehensive Ratios**: Includes profitability, liquidity, activity, and solvency ratios.</t>
  </si>
  <si>
    <t>- **User-Friendly Interface**: Easily navigate through different categories and ratios.</t>
  </si>
  <si>
    <t>- **Customizable Inputs**: Users can input financial data specific to their organization.</t>
  </si>
  <si>
    <t>- **Visual Representations**: Graphs and charts to visualize the ratios over time.</t>
  </si>
  <si>
    <t>### Getting Started</t>
  </si>
  <si>
    <t>1. **Accessing the Module**</t>
  </si>
  <si>
    <t>   - Open the financial ratios module from the main dashboard.</t>
  </si>
  <si>
    <t>   - Select the desired category of ratios (e.g., Profitability, Liquidity).</t>
  </si>
  <si>
    <t>2. **Inputting Financial Data**</t>
  </si>
  <si>
    <t>   - Input the necessary financial figures for the period under analysis.</t>
  </si>
  <si>
    <t>   - Ensure that all required fields are filled out accurately to obtain valid results.</t>
  </si>
  <si>
    <t>3. **Calculating Ratios**</t>
  </si>
  <si>
    <t>   - After entering the data, click on the “Calculate Ratios” button.</t>
  </si>
  <si>
    <t>   - The module will automatically compute the relevant financial ratios based on the provided data.</t>
  </si>
  <si>
    <t>4. **Interpreting the Results**</t>
  </si>
  <si>
    <t>   - Each ratio will be displayed with a brief explanation of what it indicates about financial health.</t>
  </si>
  <si>
    <t>   - Use the graphs and charts to visualize trends and patterns over multiple periods.</t>
  </si>
  <si>
    <t>### Understanding Financial Ratios</t>
  </si>
  <si>
    <t>- **Profitability Ratios**: Measure the ability of a company to generate profit relative to its revenue, operating costs, and assets. Common ratios include:</t>
  </si>
  <si>
    <t>  - **Gross Profit Margin**: (Gross Profit / Revenue) x 100</t>
  </si>
  <si>
    <t>  - **Net Profit Margin**: (Net Income / Revenue) x 100</t>
  </si>
  <si>
    <t>- **Liquidity Ratios**: Assess a company’s ability to meet short-term obligations. Common ratios include:</t>
  </si>
  <si>
    <t>  - **Current Ratio**: Current Assets / Current Liabilities</t>
  </si>
  <si>
    <t>  - **Quick Ratio**: (Current Assets - Inventories) / Current Liabilities</t>
  </si>
  <si>
    <t>- **Efficiency Ratios**: Evaluate how effectively a company uses its assets. Common ratios include:</t>
  </si>
  <si>
    <t>  - **Inventory Turnover**: Cost of Goods Sold / Average Inventory</t>
  </si>
  <si>
    <t>  - **Asset Turnover**: Revenue / Average Total Assets</t>
  </si>
  <si>
    <t>- **Solvency Ratios**: Measure the long-term financial viability of a company. Common ratios include:</t>
  </si>
  <si>
    <t>  - **Debt to Equity Ratio**: Total Debt / Total Equity</t>
  </si>
  <si>
    <t>  - **Interest Coverage Ratio**: Earnings Before Interest and Taxes (EBIT) / Interest Expense</t>
  </si>
  <si>
    <t>### Tips for Effective Use</t>
  </si>
  <si>
    <t>- **Regular Updates**: Regularly update financial data for accurate analysis.</t>
  </si>
  <si>
    <t>- **Benchmarking**: Compare ratios against industry benchmarks to gauge performance.</t>
  </si>
  <si>
    <t>- **Documentation**: Keep a record of financial reports and ratios for future reference.</t>
  </si>
  <si>
    <t>### Troubleshooting</t>
  </si>
  <si>
    <t>- If the module fails to calculate ratios:</t>
  </si>
  <si>
    <t>  - Ensure all fields are filled correctly.</t>
  </si>
  <si>
    <t>  - Check for any error messages and refer to the FAQ section.</t>
  </si>
  <si>
    <t>### Support</t>
  </si>
  <si>
    <t>For additional help or support, please contact our support team via [support email] or refer to the FAQ section in the module.</t>
  </si>
  <si>
    <t>Feel free to modify any sections to better fit your module's features or target audience. Including visuals, such as screenshots or diagrams, can enhance understanding even further.</t>
  </si>
  <si>
    <t>Sent from my iPhone</t>
  </si>
  <si>
    <t>The Financial Ratios Module is designed to help users analyze the financial health of an organization through various key performance indicators (KPIs). 
This module provides an extensive range of financial ratios that assist in assessing profitability, liquidity, efficiency, and solvency.</t>
  </si>
  <si>
    <t>Other income</t>
  </si>
  <si>
    <t>Other expense</t>
  </si>
  <si>
    <t xml:space="preserve">100,000 Share, $30 </t>
  </si>
  <si>
    <t>5,000 Shares, 1 Par</t>
  </si>
  <si>
    <t>Total Trial Balance</t>
  </si>
  <si>
    <t>Cost During the Year $250K</t>
  </si>
  <si>
    <t>3M Openinng Balance &amp; 2.5 Purchased during the Year</t>
  </si>
  <si>
    <t>Company buys $200K worth of AVFSS</t>
  </si>
  <si>
    <t>Sales of 5M During the Year</t>
  </si>
  <si>
    <t>Cost of sales of 5M is 3.5M ( 70%), Gross profit (30%)</t>
  </si>
  <si>
    <t>Taxes(40%)</t>
  </si>
  <si>
    <t>Paying 50% of Income Tax payable</t>
  </si>
  <si>
    <r>
      <t xml:space="preserve">Earning before interest, taxes, depreciation, and amortization </t>
    </r>
    <r>
      <rPr>
        <b/>
        <sz val="8"/>
        <color theme="1"/>
        <rFont val="Calibri"/>
        <family val="2"/>
        <scheme val="minor"/>
      </rPr>
      <t>(EBIDA)</t>
    </r>
  </si>
  <si>
    <r>
      <t xml:space="preserve">Earning before interest and taxes </t>
    </r>
    <r>
      <rPr>
        <b/>
        <sz val="8"/>
        <color theme="1"/>
        <rFont val="Calibri"/>
        <family val="2"/>
        <scheme val="minor"/>
      </rPr>
      <t>(EBIT)</t>
    </r>
  </si>
  <si>
    <t>Accum, depreciation</t>
  </si>
  <si>
    <t>Vertical Analyisis</t>
  </si>
  <si>
    <t>Horizontal Analyisis</t>
  </si>
  <si>
    <t>Percentage Change</t>
  </si>
  <si>
    <t>Liquidity</t>
  </si>
  <si>
    <t>Net Working Capital = Current Assets - Current Liability</t>
  </si>
  <si>
    <t>(is a firm ability to pay its current obligations in the short run)</t>
  </si>
  <si>
    <r>
      <t xml:space="preserve">Current Ratio = </t>
    </r>
    <r>
      <rPr>
        <b/>
        <u/>
        <sz val="8"/>
        <color theme="1"/>
        <rFont val="Calibri"/>
        <family val="2"/>
        <scheme val="minor"/>
      </rPr>
      <t xml:space="preserve">Current Assets
</t>
    </r>
    <r>
      <rPr>
        <b/>
        <sz val="8"/>
        <color theme="1"/>
        <rFont val="Calibri"/>
        <family val="2"/>
        <scheme val="minor"/>
      </rPr>
      <t xml:space="preserve">                         Current Liabilities</t>
    </r>
  </si>
  <si>
    <t>(Quick ratio (acid-test) ratio excludes Inventories &amp; Prepaids  from the numerator)</t>
  </si>
  <si>
    <r>
      <t xml:space="preserve">Quick Ratio = </t>
    </r>
    <r>
      <rPr>
        <b/>
        <u/>
        <sz val="8"/>
        <color theme="1"/>
        <rFont val="Calibri"/>
        <family val="2"/>
        <scheme val="minor"/>
      </rPr>
      <t xml:space="preserve">Cash +Marketable Securities +Net receivables
</t>
    </r>
    <r>
      <rPr>
        <b/>
        <sz val="8"/>
        <color theme="1"/>
        <rFont val="Calibri"/>
        <family val="2"/>
        <scheme val="minor"/>
      </rPr>
      <t xml:space="preserve">                                              Current Liabilities</t>
    </r>
  </si>
  <si>
    <r>
      <t xml:space="preserve">Cash Ratio = </t>
    </r>
    <r>
      <rPr>
        <b/>
        <u/>
        <sz val="8"/>
        <color theme="1"/>
        <rFont val="Calibri"/>
        <family val="2"/>
        <scheme val="minor"/>
      </rPr>
      <t xml:space="preserve">Cash +Marketable Securities 
</t>
    </r>
    <r>
      <rPr>
        <b/>
        <sz val="8"/>
        <color theme="1"/>
        <rFont val="Calibri"/>
        <family val="2"/>
        <scheme val="minor"/>
      </rPr>
      <t xml:space="preserve">                                Current Liabilities</t>
    </r>
  </si>
  <si>
    <t>(Cash ratio more conservative variation of Quick ratio)</t>
  </si>
  <si>
    <r>
      <t xml:space="preserve">Cash Ratio = </t>
    </r>
    <r>
      <rPr>
        <b/>
        <u/>
        <sz val="8"/>
        <color theme="1"/>
        <rFont val="Calibri"/>
        <family val="2"/>
        <scheme val="minor"/>
      </rPr>
      <t xml:space="preserve">Cash flow from operations
</t>
    </r>
    <r>
      <rPr>
        <b/>
        <sz val="8"/>
        <color theme="1"/>
        <rFont val="Calibri"/>
        <family val="2"/>
        <scheme val="minor"/>
      </rPr>
      <t xml:space="preserve">                             Current Liabilities</t>
    </r>
  </si>
  <si>
    <r>
      <t xml:space="preserve">Net Working Capital Ratio = </t>
    </r>
    <r>
      <rPr>
        <b/>
        <u/>
        <sz val="8"/>
        <color theme="1"/>
        <rFont val="Calibri"/>
        <family val="2"/>
        <scheme val="minor"/>
      </rPr>
      <t xml:space="preserve">Current Assets - Current Liabilities
</t>
    </r>
    <r>
      <rPr>
        <b/>
        <sz val="8"/>
        <color theme="1"/>
        <rFont val="Calibri"/>
        <family val="2"/>
        <scheme val="minor"/>
      </rPr>
      <t xml:space="preserve">                                                           Total Assets</t>
    </r>
  </si>
  <si>
    <t>(Net Working Capital Ratio is the conservative of the Working capital ratios)</t>
  </si>
  <si>
    <t>Solvency</t>
  </si>
  <si>
    <t>(is a firm ability to Meet its long-term obligations)</t>
  </si>
  <si>
    <t>Capital Structure Ratios</t>
  </si>
  <si>
    <r>
      <t xml:space="preserve">Total debt-to-total capital ratio = </t>
    </r>
    <r>
      <rPr>
        <b/>
        <u/>
        <sz val="8"/>
        <color theme="1"/>
        <rFont val="Calibri"/>
        <family val="2"/>
        <scheme val="minor"/>
      </rPr>
      <t xml:space="preserve">Total debt
</t>
    </r>
    <r>
      <rPr>
        <b/>
        <sz val="8"/>
        <color theme="1"/>
        <rFont val="Calibri"/>
        <family val="2"/>
        <scheme val="minor"/>
      </rPr>
      <t xml:space="preserve">                                                         Total capital</t>
    </r>
  </si>
  <si>
    <r>
      <t xml:space="preserve">Debt-to-equity ratio = </t>
    </r>
    <r>
      <rPr>
        <b/>
        <u/>
        <sz val="8"/>
        <color theme="1"/>
        <rFont val="Calibri"/>
        <family val="2"/>
        <scheme val="minor"/>
      </rPr>
      <t xml:space="preserve">Total debt
</t>
    </r>
    <r>
      <rPr>
        <b/>
        <sz val="8"/>
        <color theme="1"/>
        <rFont val="Calibri"/>
        <family val="2"/>
        <scheme val="minor"/>
      </rPr>
      <t xml:space="preserve">                              Stockholders's equity</t>
    </r>
  </si>
  <si>
    <r>
      <t xml:space="preserve">Long-Term debt-to-Equity ratio = </t>
    </r>
    <r>
      <rPr>
        <b/>
        <u/>
        <sz val="8"/>
        <color theme="1"/>
        <rFont val="Calibri"/>
        <family val="2"/>
        <scheme val="minor"/>
      </rPr>
      <t xml:space="preserve">Long-term debt
</t>
    </r>
    <r>
      <rPr>
        <b/>
        <sz val="8"/>
        <color theme="1"/>
        <rFont val="Calibri"/>
        <family val="2"/>
        <scheme val="minor"/>
      </rPr>
      <t xml:space="preserve">                                                   Stockholders's equity</t>
    </r>
  </si>
  <si>
    <r>
      <t xml:space="preserve">Debt to Total assets ratio = </t>
    </r>
    <r>
      <rPr>
        <b/>
        <u/>
        <sz val="8"/>
        <color theme="1"/>
        <rFont val="Calibri"/>
        <family val="2"/>
        <scheme val="minor"/>
      </rPr>
      <t xml:space="preserve">Total Liabilities
</t>
    </r>
    <r>
      <rPr>
        <b/>
        <sz val="8"/>
        <color theme="1"/>
        <rFont val="Calibri"/>
        <family val="2"/>
        <scheme val="minor"/>
      </rPr>
      <t xml:space="preserve">                                                  Total Assets</t>
    </r>
  </si>
  <si>
    <t>Earning Coverage Ratios</t>
  </si>
  <si>
    <r>
      <t xml:space="preserve">Times interest reaned ratio = </t>
    </r>
    <r>
      <rPr>
        <b/>
        <u/>
        <sz val="8"/>
        <color theme="1"/>
        <rFont val="Calibri"/>
        <family val="2"/>
        <scheme val="minor"/>
      </rPr>
      <t xml:space="preserve">Earnings before interest and taxes
</t>
    </r>
    <r>
      <rPr>
        <b/>
        <sz val="8"/>
        <color theme="1"/>
        <rFont val="Calibri"/>
        <family val="2"/>
        <scheme val="minor"/>
      </rPr>
      <t xml:space="preserve">                                                  Interest expense</t>
    </r>
  </si>
  <si>
    <t>Liquidity, Solvency Ratios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</si>
</sst>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409]#,##0"/>
    <numFmt numFmtId="166" formatCode="_-[$$-409]* #,##0.00_ ;_-[$$-409]* \-#,##0.00\ ;_-[$$-409]* &quot;-&quot;??_ ;_-@_ "/>
    <numFmt numFmtId="167" formatCode="_-[$$-409]* #,##0_ ;_-[$$-409]* \-#,##0\ ;_-[$$-409]* &quot;-&quot;??_ ;_-@_ "/>
  </numFmts>
  <fonts count="13" x14ac:knownFonts="1">
    <font>
      <sz val="11"/>
      <color theme="1"/>
      <name val="Calibri"/>
      <family val="2"/>
      <charset val="1"/>
      <scheme val="minor"/>
    </font>
    <font>
      <sz val="11"/>
      <color theme="1"/>
      <name val="Calibri"/>
      <family val="2"/>
      <charset val="1"/>
      <scheme val="minor"/>
    </font>
    <font>
      <b/>
      <sz val="11"/>
      <color theme="1"/>
      <name val="Calibri"/>
      <family val="2"/>
      <scheme val="minor"/>
    </font>
    <font>
      <sz val="8"/>
      <color theme="1"/>
      <name val="Calibri"/>
      <family val="2"/>
      <charset val="1"/>
      <scheme val="minor"/>
    </font>
    <font>
      <b/>
      <sz val="8"/>
      <color theme="1"/>
      <name val="Calibri"/>
      <family val="2"/>
      <scheme val="minor"/>
    </font>
    <font>
      <b/>
      <sz val="11"/>
      <color rgb="FF0070C0"/>
      <name val="Calibri"/>
      <family val="2"/>
      <scheme val="minor"/>
    </font>
    <font>
      <b/>
      <sz val="16"/>
      <color rgb="FF0070C0"/>
      <name val="Calibri"/>
      <family val="2"/>
      <scheme val="minor"/>
    </font>
    <font>
      <sz val="16"/>
      <color theme="1"/>
      <name val="Calibri"/>
      <family val="2"/>
      <scheme val="minor"/>
    </font>
    <font>
      <sz val="16"/>
      <color rgb="FF0070C0"/>
      <name val="Calibri"/>
      <family val="2"/>
      <scheme val="minor"/>
    </font>
    <font>
      <sz val="8"/>
      <color theme="1"/>
      <name val="Calibri"/>
      <family val="2"/>
      <scheme val="minor"/>
    </font>
    <font>
      <b/>
      <u/>
      <sz val="8"/>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right/>
      <top/>
      <bottom style="medium">
        <color indexed="64"/>
      </bottom>
      <diagonal/>
    </border>
    <border>
      <left/>
      <right/>
      <top style="medium">
        <color auto="1"/>
      </top>
      <bottom/>
      <diagonal/>
    </border>
    <border>
      <left/>
      <right/>
      <top style="medium">
        <color auto="1"/>
      </top>
      <bottom style="double">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Alignment="1">
      <alignment horizontal="center" vertical="center" wrapText="1"/>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0" fillId="0" borderId="0" xfId="1"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164" fontId="0" fillId="0" borderId="0" xfId="1" applyNumberFormat="1" applyFont="1" applyAlignment="1">
      <alignment horizontal="right" vertical="center"/>
    </xf>
    <xf numFmtId="43" fontId="0" fillId="0" borderId="0" xfId="1" applyFont="1"/>
    <xf numFmtId="0" fontId="0" fillId="0" borderId="0" xfId="0" applyAlignment="1">
      <alignment horizontal="centerContinuous" wrapText="1"/>
    </xf>
    <xf numFmtId="0" fontId="0" fillId="0" borderId="0" xfId="0" applyAlignment="1">
      <alignment horizontal="centerContinuous"/>
    </xf>
    <xf numFmtId="43" fontId="2" fillId="0" borderId="3" xfId="1" applyFont="1" applyBorder="1"/>
    <xf numFmtId="0" fontId="0" fillId="0" borderId="4" xfId="0" applyBorder="1"/>
    <xf numFmtId="43" fontId="0" fillId="0" borderId="4" xfId="1" applyFont="1" applyBorder="1"/>
    <xf numFmtId="43" fontId="2" fillId="2" borderId="4" xfId="1" applyFont="1" applyFill="1" applyBorder="1"/>
    <xf numFmtId="0" fontId="2" fillId="0" borderId="5" xfId="0" applyFont="1" applyBorder="1" applyAlignment="1">
      <alignment horizontal="center"/>
    </xf>
    <xf numFmtId="0" fontId="2" fillId="0" borderId="5" xfId="0" applyFont="1" applyBorder="1"/>
    <xf numFmtId="43" fontId="2" fillId="0" borderId="5" xfId="1" applyFont="1" applyBorder="1" applyAlignment="1">
      <alignment horizontal="center"/>
    </xf>
    <xf numFmtId="43" fontId="2" fillId="0" borderId="5" xfId="1" applyFont="1" applyBorder="1"/>
    <xf numFmtId="0" fontId="2" fillId="0" borderId="3" xfId="0" applyFont="1" applyBorder="1" applyAlignment="1">
      <alignment horizontal="centerContinuous"/>
    </xf>
    <xf numFmtId="0" fontId="0" fillId="0" borderId="6" xfId="0" applyBorder="1"/>
    <xf numFmtId="0" fontId="3"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43" fontId="2" fillId="0" borderId="5" xfId="1" applyFont="1" applyBorder="1" applyAlignment="1">
      <alignment vertical="center"/>
    </xf>
    <xf numFmtId="165" fontId="3" fillId="0" borderId="0" xfId="0" applyNumberFormat="1" applyFont="1" applyAlignment="1">
      <alignment vertical="center"/>
    </xf>
    <xf numFmtId="43" fontId="0" fillId="0" borderId="0" xfId="0" applyNumberFormat="1" applyAlignment="1">
      <alignment vertical="center"/>
    </xf>
    <xf numFmtId="9" fontId="0" fillId="0" borderId="0" xfId="2" applyFont="1" applyAlignment="1">
      <alignment vertical="center"/>
    </xf>
    <xf numFmtId="10" fontId="0" fillId="0" borderId="0" xfId="2" applyNumberFormat="1" applyFont="1" applyAlignment="1">
      <alignment vertical="center"/>
    </xf>
    <xf numFmtId="10" fontId="2" fillId="0" borderId="2" xfId="2" applyNumberFormat="1" applyFont="1" applyBorder="1" applyAlignment="1">
      <alignment vertical="center"/>
    </xf>
    <xf numFmtId="10" fontId="2" fillId="0" borderId="3" xfId="2" applyNumberFormat="1" applyFont="1" applyBorder="1" applyAlignment="1">
      <alignment vertical="center"/>
    </xf>
    <xf numFmtId="0" fontId="5" fillId="4" borderId="2" xfId="0" applyFont="1" applyFill="1" applyBorder="1" applyAlignment="1">
      <alignment horizontal="centerContinuous" vertical="center" wrapText="1"/>
    </xf>
    <xf numFmtId="9" fontId="0" fillId="0" borderId="0" xfId="0" applyNumberFormat="1" applyAlignment="1">
      <alignment vertical="center"/>
    </xf>
    <xf numFmtId="9" fontId="0" fillId="0" borderId="0" xfId="2" applyFont="1" applyAlignment="1">
      <alignment horizontal="right" vertical="center"/>
    </xf>
    <xf numFmtId="0" fontId="5" fillId="4" borderId="2" xfId="0" applyFont="1" applyFill="1" applyBorder="1" applyAlignment="1">
      <alignment horizontal="center" vertical="center" wrapText="1"/>
    </xf>
    <xf numFmtId="0" fontId="2" fillId="3" borderId="1" xfId="0" applyFont="1" applyFill="1" applyBorder="1" applyAlignment="1">
      <alignment vertical="center" wrapText="1"/>
    </xf>
    <xf numFmtId="10" fontId="2" fillId="0" borderId="0" xfId="2" applyNumberFormat="1" applyFont="1" applyBorder="1" applyAlignment="1">
      <alignment vertical="center"/>
    </xf>
    <xf numFmtId="10" fontId="0" fillId="0" borderId="0" xfId="2" applyNumberFormat="1" applyFont="1" applyBorder="1" applyAlignment="1">
      <alignment vertical="center"/>
    </xf>
    <xf numFmtId="9" fontId="2" fillId="0" borderId="2" xfId="2" applyNumberFormat="1" applyFont="1" applyBorder="1" applyAlignment="1">
      <alignment vertical="center"/>
    </xf>
    <xf numFmtId="9" fontId="2" fillId="0" borderId="3" xfId="2" applyNumberFormat="1" applyFont="1" applyBorder="1" applyAlignment="1">
      <alignment vertical="center"/>
    </xf>
    <xf numFmtId="9" fontId="2" fillId="0" borderId="2" xfId="2" applyNumberFormat="1" applyFont="1" applyBorder="1" applyAlignment="1">
      <alignment horizontal="right" vertical="center"/>
    </xf>
    <xf numFmtId="9" fontId="2" fillId="0" borderId="0" xfId="0" applyNumberFormat="1" applyFont="1" applyAlignment="1">
      <alignment vertical="center"/>
    </xf>
    <xf numFmtId="9" fontId="2" fillId="0" borderId="0" xfId="2" applyFont="1" applyAlignment="1">
      <alignment horizontal="right" vertical="center"/>
    </xf>
    <xf numFmtId="9" fontId="0" fillId="0" borderId="0" xfId="2" applyNumberFormat="1" applyFont="1" applyAlignment="1">
      <alignment vertical="center"/>
    </xf>
    <xf numFmtId="9" fontId="0" fillId="0" borderId="0" xfId="2" applyNumberFormat="1" applyFont="1" applyAlignment="1">
      <alignment horizontal="right" vertical="center"/>
    </xf>
    <xf numFmtId="10" fontId="0" fillId="0" borderId="0" xfId="2"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vertical="center"/>
    </xf>
    <xf numFmtId="9" fontId="2" fillId="0" borderId="3" xfId="2" applyNumberFormat="1" applyFont="1" applyBorder="1" applyAlignment="1">
      <alignment horizontal="right" vertical="center"/>
    </xf>
    <xf numFmtId="9" fontId="0" fillId="0" borderId="0" xfId="0" applyNumberFormat="1" applyAlignment="1">
      <alignment horizontal="right" vertical="center"/>
    </xf>
    <xf numFmtId="9" fontId="0" fillId="0" borderId="0" xfId="2" applyNumberFormat="1" applyFont="1" applyBorder="1" applyAlignment="1">
      <alignment horizontal="right" vertical="center"/>
    </xf>
    <xf numFmtId="9" fontId="2" fillId="0" borderId="0" xfId="2" applyNumberFormat="1" applyFont="1" applyBorder="1" applyAlignment="1">
      <alignment horizontal="right" vertical="center"/>
    </xf>
    <xf numFmtId="9" fontId="3" fillId="0" borderId="0" xfId="0" applyNumberFormat="1" applyFont="1" applyAlignment="1">
      <alignment horizontal="right" vertical="center"/>
    </xf>
    <xf numFmtId="0" fontId="6" fillId="3" borderId="0" xfId="0" applyFont="1" applyFill="1" applyAlignment="1">
      <alignment vertical="center"/>
    </xf>
    <xf numFmtId="0" fontId="7" fillId="3" borderId="0" xfId="0" applyFont="1" applyFill="1" applyAlignment="1">
      <alignment horizontal="center" vertical="center"/>
    </xf>
    <xf numFmtId="43" fontId="7" fillId="3" borderId="0" xfId="0" applyNumberFormat="1" applyFont="1" applyFill="1" applyAlignment="1">
      <alignment horizontal="center" vertical="center"/>
    </xf>
    <xf numFmtId="0" fontId="7" fillId="3" borderId="0" xfId="0" applyFont="1" applyFill="1" applyAlignment="1">
      <alignment vertical="center"/>
    </xf>
    <xf numFmtId="9" fontId="7" fillId="3" borderId="0" xfId="0" applyNumberFormat="1" applyFont="1" applyFill="1" applyAlignment="1">
      <alignment vertical="center"/>
    </xf>
    <xf numFmtId="0" fontId="8" fillId="3" borderId="0" xfId="0" applyFont="1" applyFill="1" applyAlignment="1">
      <alignment horizontal="center" vertical="center" wrapText="1"/>
    </xf>
    <xf numFmtId="0" fontId="8" fillId="3" borderId="0" xfId="0" applyFont="1" applyFill="1" applyAlignment="1">
      <alignment vertical="center"/>
    </xf>
    <xf numFmtId="164" fontId="0" fillId="0" borderId="1" xfId="1" applyNumberFormat="1" applyFont="1" applyBorder="1" applyAlignment="1">
      <alignment horizontal="right" vertical="center"/>
    </xf>
    <xf numFmtId="166" fontId="0" fillId="0" borderId="0" xfId="1" applyNumberFormat="1" applyFont="1" applyAlignment="1">
      <alignment horizontal="right" vertical="center"/>
    </xf>
    <xf numFmtId="166" fontId="2" fillId="0" borderId="2" xfId="1" applyNumberFormat="1" applyFont="1" applyBorder="1" applyAlignment="1">
      <alignment horizontal="right" vertical="center"/>
    </xf>
    <xf numFmtId="166" fontId="3" fillId="0" borderId="0" xfId="1" applyNumberFormat="1" applyFont="1" applyAlignment="1">
      <alignment horizontal="center" vertical="center"/>
    </xf>
    <xf numFmtId="166" fontId="8" fillId="3" borderId="0" xfId="1" applyNumberFormat="1" applyFont="1" applyFill="1" applyAlignment="1">
      <alignment horizontal="center" vertical="center" wrapText="1"/>
    </xf>
    <xf numFmtId="167" fontId="0" fillId="0" borderId="0" xfId="1" applyNumberFormat="1" applyFont="1" applyAlignment="1">
      <alignment horizontal="right" vertical="center"/>
    </xf>
    <xf numFmtId="167" fontId="2" fillId="0" borderId="0" xfId="1" applyNumberFormat="1" applyFont="1" applyAlignment="1">
      <alignment horizontal="right" vertical="center"/>
    </xf>
    <xf numFmtId="167" fontId="2" fillId="0" borderId="2" xfId="1" applyNumberFormat="1" applyFont="1" applyBorder="1" applyAlignment="1">
      <alignment horizontal="right" vertical="center"/>
    </xf>
    <xf numFmtId="167" fontId="2" fillId="0" borderId="3" xfId="1" applyNumberFormat="1" applyFont="1" applyBorder="1" applyAlignment="1">
      <alignment horizontal="right" vertical="center"/>
    </xf>
    <xf numFmtId="167" fontId="0" fillId="0" borderId="0" xfId="1" applyNumberFormat="1" applyFont="1" applyAlignment="1">
      <alignment horizontal="center" vertical="center"/>
    </xf>
    <xf numFmtId="167" fontId="2" fillId="0" borderId="3" xfId="1" applyNumberFormat="1" applyFont="1" applyBorder="1" applyAlignment="1">
      <alignment horizontal="center" vertical="center"/>
    </xf>
    <xf numFmtId="167" fontId="0" fillId="0" borderId="3" xfId="1" applyNumberFormat="1" applyFont="1" applyBorder="1" applyAlignment="1">
      <alignment horizontal="right" vertical="center"/>
    </xf>
    <xf numFmtId="167" fontId="2" fillId="2" borderId="3" xfId="1" applyNumberFormat="1" applyFont="1" applyFill="1" applyBorder="1" applyAlignment="1">
      <alignment horizontal="center" vertical="center"/>
    </xf>
    <xf numFmtId="9" fontId="2" fillId="2" borderId="3" xfId="2" applyNumberFormat="1" applyFont="1" applyFill="1" applyBorder="1" applyAlignment="1">
      <alignment vertical="center"/>
    </xf>
    <xf numFmtId="9" fontId="2" fillId="2" borderId="3" xfId="2" applyNumberFormat="1" applyFont="1" applyFill="1" applyBorder="1" applyAlignment="1">
      <alignment horizontal="right" vertical="center"/>
    </xf>
    <xf numFmtId="0" fontId="9" fillId="0" borderId="0" xfId="0" applyFont="1" applyAlignment="1">
      <alignment vertical="center"/>
    </xf>
    <xf numFmtId="0" fontId="4" fillId="0" borderId="0" xfId="0" applyFont="1" applyAlignment="1">
      <alignment vertical="center" wrapText="1"/>
    </xf>
    <xf numFmtId="0" fontId="9" fillId="0" borderId="0" xfId="0" applyFont="1" applyAlignment="1">
      <alignment vertical="center" wrapText="1"/>
    </xf>
    <xf numFmtId="43" fontId="2" fillId="2" borderId="3" xfId="1" applyFont="1" applyFill="1" applyBorder="1" applyAlignment="1">
      <alignment horizontal="right" vertical="center"/>
    </xf>
    <xf numFmtId="43" fontId="0" fillId="0" borderId="0" xfId="1" applyFont="1" applyAlignment="1">
      <alignment horizontal="center" vertical="center"/>
    </xf>
    <xf numFmtId="43" fontId="2" fillId="2" borderId="3" xfId="1" applyFont="1" applyFill="1" applyBorder="1" applyAlignment="1">
      <alignment horizontal="center" vertical="center"/>
    </xf>
    <xf numFmtId="43" fontId="0" fillId="0" borderId="0" xfId="1" applyFont="1" applyAlignment="1">
      <alignment horizont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0" xfId="0" applyFont="1" applyAlignment="1">
      <alignment horizontal="center" vertical="center" wrapText="1"/>
    </xf>
  </cellXfs>
  <cellStyles count="3">
    <cellStyle name="Comma" xfId="1" builtinId="3"/>
    <cellStyle name="Normal" xfId="0" builtinId="0"/>
    <cellStyle name="Percent" xfId="2" builtinId="5"/>
  </cellStyles>
  <dxfs count="14">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22860</xdr:rowOff>
    </xdr:from>
    <xdr:to>
      <xdr:col>22</xdr:col>
      <xdr:colOff>563880</xdr:colOff>
      <xdr:row>142</xdr:row>
      <xdr:rowOff>114300</xdr:rowOff>
    </xdr:to>
    <xdr:sp macro="" textlink="">
      <xdr:nvSpPr>
        <xdr:cNvPr id="2" name="TextBox 1"/>
        <xdr:cNvSpPr txBox="1"/>
      </xdr:nvSpPr>
      <xdr:spPr>
        <a:xfrm>
          <a:off x="0" y="22860"/>
          <a:ext cx="13975080" cy="26060400"/>
        </a:xfrm>
        <a:prstGeom prst="rect">
          <a:avLst/>
        </a:prstGeom>
        <a:gradFill>
          <a:gsLst>
            <a:gs pos="0">
              <a:schemeClr val="accent1">
                <a:lumMod val="5000"/>
                <a:lumOff val="95000"/>
              </a:schemeClr>
            </a:gs>
            <a:gs pos="7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400" b="1" u="sng">
              <a:solidFill>
                <a:schemeClr val="accent5"/>
              </a:solidFill>
              <a:effectLst/>
              <a:latin typeface="+mn-lt"/>
              <a:ea typeface="+mn-ea"/>
              <a:cs typeface="+mn-cs"/>
            </a:rPr>
            <a:t>Working capital </a:t>
          </a:r>
          <a:endParaRPr lang="en-US" sz="1400" b="1" u="sng">
            <a:solidFill>
              <a:schemeClr val="accent5"/>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Working capital is a financial metric that represents the difference between a company's current assets and current liabilities. It is a measure of a company's short-term liquidity and operational efficiency. Working capital is essential for managing day-to-day operations and ensuring that a business can cover its short-term obligations.</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Key Components of Working Capital:</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1.Current Assets: These include cash, accounts receivable, inventory, and other assets expected to be converted into cash or used within one year.</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2. Current Liabilities: These include accounts payable, short-term debt, accrued liabilities, and other obligations due within one year.</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Formula:</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The formula for calculating working capital is:</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Working Capital = Current Assets- Current Liabilities</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Importance of Working Capital:</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Liquidity Management: Positive working capital indicates that a company can easily pay off its short-term liabilities, while negative working capital may signal financial difficulties.</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Operational Efficiency: Efficient management of working capital can improve a company's profitability and operational performance.</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Investment in Growth: Adequate working capital allows businesses to invest in opportunities for growth without financial strain.</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Additional Insights:</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Working Capital Ratio: This ratio (Current Assets / Current Liabilities) provides insights into the liquidity and operational efficiency of a company.</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Seasonal Fluctuations: Some businesses experience seasonal fluctuations in working capital needs, requiring careful planning to manage cash flow.</a:t>
          </a: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Effective working capital management is crucial for maintaining the financial health of a business and ensuring its ability to meet obligations and invest in growth opportunities.</a:t>
          </a:r>
        </a:p>
        <a:p>
          <a:r>
            <a:rPr lang="en-US" sz="1400" b="1" u="sng">
              <a:solidFill>
                <a:schemeClr val="accent5"/>
              </a:solidFill>
              <a:effectLst/>
              <a:latin typeface="+mn-lt"/>
              <a:ea typeface="+mn-ea"/>
              <a:cs typeface="+mn-cs"/>
            </a:rPr>
            <a:t>Current Ratio</a:t>
          </a:r>
        </a:p>
        <a:p>
          <a:endParaRPr lang="en-US" sz="1400" b="0" u="sng">
            <a:solidFill>
              <a:schemeClr val="accent5"/>
            </a:solidFill>
          </a:endParaRPr>
        </a:p>
        <a:p>
          <a:r>
            <a:rPr lang="en-US" b="1"/>
            <a:t>Current Ratio: Definition, Formula, and Interpretation</a:t>
          </a:r>
        </a:p>
        <a:p>
          <a:r>
            <a:rPr lang="en-US" b="1"/>
            <a:t>What is the Current Ratio?</a:t>
          </a:r>
        </a:p>
        <a:p>
          <a:r>
            <a:rPr lang="en-US"/>
            <a:t>The </a:t>
          </a:r>
          <a:r>
            <a:rPr lang="en-US" b="1"/>
            <a:t>current ratio</a:t>
          </a:r>
          <a:r>
            <a:rPr lang="en-US"/>
            <a:t> is a financial metric used to assess a company's ability to pay its short-term obligations using its short-term assets. It is a </a:t>
          </a:r>
          <a:r>
            <a:rPr lang="en-US" b="1"/>
            <a:t>liquidity ratio</a:t>
          </a:r>
          <a:r>
            <a:rPr lang="en-US"/>
            <a:t>, meaning it evaluates a company's short-term financial health and its ability to meet liabilities due within a year.</a:t>
          </a:r>
        </a:p>
        <a:p>
          <a:r>
            <a:rPr lang="en-US" b="1"/>
            <a:t>Formula for Current Ratio</a:t>
          </a:r>
        </a:p>
        <a:p>
          <a:r>
            <a:rPr lang="en-US"/>
            <a:t>Current Ratio=Current Assets/Current Liabilitie.</a:t>
          </a:r>
        </a:p>
        <a:p>
          <a:r>
            <a:rPr lang="en-US" b="1"/>
            <a:t>Current Assets:</a:t>
          </a:r>
          <a:r>
            <a:rPr lang="en-US"/>
            <a:t> These are assets that can be converted into cash within a year, such as:</a:t>
          </a:r>
        </a:p>
        <a:p>
          <a:pPr lvl="1"/>
          <a:r>
            <a:rPr lang="en-US"/>
            <a:t>Cash and cash equivalents</a:t>
          </a:r>
        </a:p>
        <a:p>
          <a:pPr lvl="1"/>
          <a:r>
            <a:rPr lang="en-US"/>
            <a:t>Accounts receivable</a:t>
          </a:r>
        </a:p>
        <a:p>
          <a:pPr lvl="1"/>
          <a:r>
            <a:rPr lang="en-US"/>
            <a:t>Inventory</a:t>
          </a:r>
        </a:p>
        <a:p>
          <a:pPr lvl="1"/>
          <a:r>
            <a:rPr lang="en-US"/>
            <a:t>Marketable securities</a:t>
          </a:r>
        </a:p>
        <a:p>
          <a:pPr lvl="1"/>
          <a:r>
            <a:rPr lang="en-US"/>
            <a:t>Prepaid expenses</a:t>
          </a:r>
        </a:p>
        <a:p>
          <a:r>
            <a:rPr lang="en-US" b="1"/>
            <a:t>Current Liabilities:</a:t>
          </a:r>
          <a:r>
            <a:rPr lang="en-US"/>
            <a:t> These are obligations due within a year, such as:</a:t>
          </a:r>
        </a:p>
        <a:p>
          <a:pPr lvl="1"/>
          <a:r>
            <a:rPr lang="en-US"/>
            <a:t>Accounts payable</a:t>
          </a:r>
        </a:p>
        <a:p>
          <a:pPr lvl="1"/>
          <a:r>
            <a:rPr lang="en-US"/>
            <a:t>Short-term debt</a:t>
          </a:r>
        </a:p>
        <a:p>
          <a:pPr lvl="1"/>
          <a:r>
            <a:rPr lang="en-US"/>
            <a:t>Wages payable</a:t>
          </a:r>
        </a:p>
        <a:p>
          <a:pPr lvl="1"/>
          <a:r>
            <a:rPr lang="en-US"/>
            <a:t>Taxes payable</a:t>
          </a:r>
        </a:p>
        <a:p>
          <a:pPr lvl="1"/>
          <a:r>
            <a:rPr lang="en-US"/>
            <a:t>Interest payable</a:t>
          </a:r>
        </a:p>
        <a:p>
          <a:r>
            <a:rPr lang="en-US" b="1"/>
            <a:t>Interpretation of the Current Ratio</a:t>
          </a:r>
        </a:p>
        <a:p>
          <a:r>
            <a:rPr lang="en-US" b="1"/>
            <a:t>Current Ratio &gt; 1:</a:t>
          </a:r>
          <a:endParaRPr lang="en-US"/>
        </a:p>
        <a:p>
          <a:pPr lvl="1"/>
          <a:r>
            <a:rPr lang="en-US"/>
            <a:t>The company has more current assets than current liabilities.</a:t>
          </a:r>
        </a:p>
        <a:p>
          <a:pPr lvl="1"/>
          <a:r>
            <a:rPr lang="en-US"/>
            <a:t>This suggests good liquidity and the ability to pay short-term debts.</a:t>
          </a:r>
        </a:p>
        <a:p>
          <a:pPr lvl="1"/>
          <a:r>
            <a:rPr lang="en-US"/>
            <a:t>A ratio significantly above 1 (e.g., 2 or more) may indicate excess assets that are not being efficiently utilized.</a:t>
          </a:r>
        </a:p>
        <a:p>
          <a:r>
            <a:rPr lang="en-US" b="1"/>
            <a:t>Current Ratio = 1:</a:t>
          </a:r>
          <a:endParaRPr lang="en-US"/>
        </a:p>
        <a:p>
          <a:pPr lvl="1"/>
          <a:r>
            <a:rPr lang="en-US"/>
            <a:t>The company has just enough assets to cover its short-term obligations.</a:t>
          </a:r>
        </a:p>
        <a:p>
          <a:pPr lvl="1"/>
          <a:r>
            <a:rPr lang="en-US"/>
            <a:t>This may be risky if cash flow is unpredictable.</a:t>
          </a:r>
        </a:p>
        <a:p>
          <a:r>
            <a:rPr lang="en-US" b="1"/>
            <a:t>Current Ratio &lt; 1:</a:t>
          </a:r>
          <a:endParaRPr lang="en-US"/>
        </a:p>
        <a:p>
          <a:pPr lvl="1"/>
          <a:r>
            <a:rPr lang="en-US"/>
            <a:t>The company may struggle to meet short-term liabilities.</a:t>
          </a:r>
        </a:p>
        <a:p>
          <a:pPr lvl="1"/>
          <a:r>
            <a:rPr lang="en-US"/>
            <a:t>This could signal financial distress unless the company has strong long-term assets or cash flow.</a:t>
          </a:r>
        </a:p>
        <a:p>
          <a:pPr lvl="1"/>
          <a:endParaRPr lang="en-US"/>
        </a:p>
        <a:p>
          <a:r>
            <a:rPr lang="en-US" b="1"/>
            <a:t>Example Calculation</a:t>
          </a:r>
        </a:p>
        <a:p>
          <a:r>
            <a:rPr lang="en-US" b="1"/>
            <a:t>Scenario:</a:t>
          </a:r>
        </a:p>
        <a:p>
          <a:r>
            <a:rPr lang="en-US"/>
            <a:t>A company has the following financials:</a:t>
          </a:r>
        </a:p>
        <a:p>
          <a:r>
            <a:rPr lang="en-US" b="1"/>
            <a:t>Current Assets</a:t>
          </a:r>
          <a:r>
            <a:rPr lang="en-US"/>
            <a:t> = $500,000</a:t>
          </a:r>
        </a:p>
        <a:p>
          <a:r>
            <a:rPr lang="en-US" b="1"/>
            <a:t>Current Liabilities</a:t>
          </a:r>
          <a:r>
            <a:rPr lang="en-US"/>
            <a:t> = $250,000</a:t>
          </a:r>
        </a:p>
        <a:p>
          <a:r>
            <a:rPr lang="en-US"/>
            <a:t>Current Ratio=500,000/250,000=2.0 </a:t>
          </a:r>
        </a:p>
        <a:p>
          <a:r>
            <a:rPr lang="en-US"/>
            <a:t>Ratio of </a:t>
          </a:r>
          <a:r>
            <a:rPr lang="en-US" b="1"/>
            <a:t>2.0</a:t>
          </a:r>
          <a:r>
            <a:rPr lang="en-US"/>
            <a:t> means the company has </a:t>
          </a:r>
          <a:r>
            <a:rPr lang="en-US" b="1"/>
            <a:t>twice the assets needed to cover short-term liabilities</a:t>
          </a:r>
          <a:r>
            <a:rPr lang="en-US"/>
            <a:t>, indicating strong liquidity.</a:t>
          </a:r>
        </a:p>
        <a:p>
          <a:r>
            <a:rPr lang="en-US" b="1"/>
            <a:t>Industry Benchmarks</a:t>
          </a:r>
        </a:p>
        <a:p>
          <a:r>
            <a:rPr lang="en-US"/>
            <a:t>The ideal </a:t>
          </a:r>
          <a:r>
            <a:rPr lang="en-US" b="1"/>
            <a:t>current ratio varies by industry</a:t>
          </a:r>
          <a:r>
            <a:rPr lang="en-US"/>
            <a:t>.</a:t>
          </a:r>
        </a:p>
        <a:p>
          <a:r>
            <a:rPr lang="en-US"/>
            <a:t>Capital-intensive industries (e.g., manufacturing) might have lower ratios.</a:t>
          </a:r>
        </a:p>
        <a:p>
          <a:r>
            <a:rPr lang="en-US"/>
            <a:t>Service-based businesses may have higher ratios due to fewer liabilities.</a:t>
          </a:r>
        </a:p>
        <a:p>
          <a:r>
            <a:rPr lang="en-US" b="1"/>
            <a:t>IndustryTypical Current Ratio Range</a:t>
          </a:r>
          <a:r>
            <a:rPr lang="en-US"/>
            <a:t>Retail1.2 – 2.0Manufacturing1.5 – 2.5Technology1.5 – 3.0Utilities0.5 – 1.2 (lower due to stable cash flow)</a:t>
          </a:r>
          <a:r>
            <a:rPr lang="en-US" b="1"/>
            <a:t>Limitations of the Current Ratio</a:t>
          </a:r>
        </a:p>
        <a:p>
          <a:r>
            <a:rPr lang="en-US" b="1"/>
            <a:t>Ignores Asset Liquidity:</a:t>
          </a:r>
          <a:endParaRPr lang="en-US"/>
        </a:p>
        <a:p>
          <a:pPr lvl="1"/>
          <a:r>
            <a:rPr lang="en-US"/>
            <a:t>Some current assets (e.g., inventory) may be difficult to convert into cash quickly.</a:t>
          </a:r>
        </a:p>
        <a:p>
          <a:pPr lvl="1"/>
          <a:r>
            <a:rPr lang="en-US"/>
            <a:t>A high current ratio doesn’t always mean high liquidity.</a:t>
          </a:r>
        </a:p>
        <a:p>
          <a:r>
            <a:rPr lang="en-US" b="1"/>
            <a:t>Doesn't Consider Timing of Liabilities:</a:t>
          </a:r>
          <a:endParaRPr lang="en-US"/>
        </a:p>
        <a:p>
          <a:pPr lvl="1"/>
          <a:r>
            <a:rPr lang="en-US"/>
            <a:t>A company may have a high ratio but still face liquidity issues if liabilities are due soon.</a:t>
          </a:r>
        </a:p>
        <a:p>
          <a:r>
            <a:rPr lang="en-US" b="1"/>
            <a:t>Industry-Specific Considerations:</a:t>
          </a:r>
          <a:endParaRPr lang="en-US"/>
        </a:p>
        <a:p>
          <a:pPr lvl="1"/>
          <a:r>
            <a:rPr lang="en-US"/>
            <a:t>Some industries naturally operate with low current ratios (e.g., utilities).</a:t>
          </a:r>
        </a:p>
        <a:p>
          <a:r>
            <a:rPr lang="en-US" b="1"/>
            <a:t>Current Ratio vs. Quick Ratio</a:t>
          </a:r>
        </a:p>
        <a:p>
          <a:r>
            <a:rPr lang="en-US" b="1"/>
            <a:t>MetricIncludes Inventory?More Conservative?Current Ratio</a:t>
          </a:r>
          <a:r>
            <a:rPr lang="en-US"/>
            <a:t>YesNo</a:t>
          </a:r>
          <a:r>
            <a:rPr lang="en-US" b="1"/>
            <a:t>Quick Ratio</a:t>
          </a:r>
          <a:r>
            <a:rPr lang="en-US"/>
            <a:t>NoYesThe </a:t>
          </a:r>
          <a:r>
            <a:rPr lang="en-US" b="1"/>
            <a:t>quick ratio</a:t>
          </a:r>
          <a:r>
            <a:rPr lang="en-US"/>
            <a:t> (or acid-test ratio) excludes inventory and prepaid expenses, making it a stricter test of liquidity.</a:t>
          </a:r>
        </a:p>
        <a:p>
          <a:r>
            <a:rPr lang="en-US" b="1"/>
            <a:t>Conclusion</a:t>
          </a:r>
        </a:p>
        <a:p>
          <a:r>
            <a:rPr lang="en-US"/>
            <a:t>The current ratio is </a:t>
          </a:r>
          <a:r>
            <a:rPr lang="en-US" b="1"/>
            <a:t>a key indicator of short-term financial health</a:t>
          </a:r>
          <a:r>
            <a:rPr lang="en-US"/>
            <a:t>.</a:t>
          </a:r>
        </a:p>
        <a:p>
          <a:r>
            <a:rPr lang="en-US"/>
            <a:t>It should be </a:t>
          </a:r>
          <a:r>
            <a:rPr lang="en-US" b="1"/>
            <a:t>compared with industry standards</a:t>
          </a:r>
          <a:r>
            <a:rPr lang="en-US"/>
            <a:t> for meaningful insights.</a:t>
          </a:r>
        </a:p>
        <a:p>
          <a:r>
            <a:rPr lang="en-US"/>
            <a:t>A high ratio is generally good, but </a:t>
          </a:r>
          <a:r>
            <a:rPr lang="en-US" b="1"/>
            <a:t>efficient use of assets is also crucial</a:t>
          </a:r>
          <a:r>
            <a:rPr lang="en-US"/>
            <a:t>.</a:t>
          </a:r>
        </a:p>
        <a:p>
          <a:endParaRPr lang="en-US" sz="1100">
            <a:effectLst/>
            <a:latin typeface="Calibri" panose="020F0502020204030204" pitchFamily="34" charset="0"/>
            <a:ea typeface="Calibri" panose="020F0502020204030204" pitchFamily="34" charset="0"/>
            <a:cs typeface="Arial" panose="020B0604020202020204" pitchFamily="34" charset="0"/>
          </a:endParaRPr>
        </a:p>
        <a:p>
          <a:r>
            <a:rPr lang="en-US" sz="1400" b="1" u="sng">
              <a:solidFill>
                <a:schemeClr val="accent5"/>
              </a:solidFill>
              <a:effectLst/>
              <a:latin typeface="+mn-lt"/>
              <a:ea typeface="+mn-ea"/>
              <a:cs typeface="+mn-cs"/>
            </a:rPr>
            <a:t>Quick Ratio </a:t>
          </a:r>
        </a:p>
        <a:p>
          <a:endParaRPr lang="en-US" sz="1400" b="1" u="sng">
            <a:solidFill>
              <a:schemeClr val="accent5"/>
            </a:solidFill>
          </a:endParaRPr>
        </a:p>
        <a:p>
          <a:r>
            <a:rPr lang="en-US" b="1"/>
            <a:t>Quick Ratio (Acid-Test Ratio): Definition, Formula, and Interpretation</a:t>
          </a:r>
        </a:p>
        <a:p>
          <a:r>
            <a:rPr lang="en-US" b="1"/>
            <a:t>What is the Quick Ratio?</a:t>
          </a:r>
        </a:p>
        <a:p>
          <a:r>
            <a:rPr lang="en-US"/>
            <a:t>The </a:t>
          </a:r>
          <a:r>
            <a:rPr lang="en-US" b="1"/>
            <a:t>quick ratio</a:t>
          </a:r>
          <a:r>
            <a:rPr lang="en-US"/>
            <a:t>, also called the </a:t>
          </a:r>
          <a:r>
            <a:rPr lang="en-US" b="1"/>
            <a:t>acid-test ratio</a:t>
          </a:r>
          <a:r>
            <a:rPr lang="en-US"/>
            <a:t>, is a financial metric that measures a company’s ability to pay off its short-term liabilities using its most liquid assets. It is a </a:t>
          </a:r>
          <a:r>
            <a:rPr lang="en-US" b="1"/>
            <a:t>stricter measure of liquidity</a:t>
          </a:r>
          <a:r>
            <a:rPr lang="en-US"/>
            <a:t> than the current ratio because it excludes inventory and prepaid expenses, which may not be easily converted into cash.</a:t>
          </a:r>
        </a:p>
        <a:p>
          <a:r>
            <a:rPr lang="en-US" b="1"/>
            <a:t>Formula for Quick Ratio</a:t>
          </a:r>
        </a:p>
        <a:p>
          <a:r>
            <a:rPr lang="en-US"/>
            <a:t>Quick Ratio=Quick Assets/Current Liabilities:</a:t>
          </a:r>
        </a:p>
        <a:p>
          <a:r>
            <a:rPr lang="en-US" b="1"/>
            <a:t>Quick Assets</a:t>
          </a:r>
          <a:r>
            <a:rPr lang="en-US"/>
            <a:t> = Current Assets – Inventory – Prepaid Expenses</a:t>
          </a:r>
        </a:p>
        <a:p>
          <a:r>
            <a:rPr lang="en-US"/>
            <a:t>Quick assets include:</a:t>
          </a:r>
        </a:p>
        <a:p>
          <a:pPr lvl="1"/>
          <a:r>
            <a:rPr lang="en-US"/>
            <a:t>Cash and cash equivalents</a:t>
          </a:r>
        </a:p>
        <a:p>
          <a:pPr lvl="1"/>
          <a:r>
            <a:rPr lang="en-US"/>
            <a:t>Marketable securities</a:t>
          </a:r>
        </a:p>
        <a:p>
          <a:pPr lvl="1"/>
          <a:r>
            <a:rPr lang="en-US"/>
            <a:t>Accounts receivable</a:t>
          </a:r>
        </a:p>
        <a:p>
          <a:r>
            <a:rPr lang="en-US" b="1"/>
            <a:t>Current Liabilities</a:t>
          </a:r>
          <a:r>
            <a:rPr lang="en-US"/>
            <a:t> include:</a:t>
          </a:r>
        </a:p>
        <a:p>
          <a:pPr lvl="1"/>
          <a:r>
            <a:rPr lang="en-US"/>
            <a:t>Accounts payable</a:t>
          </a:r>
        </a:p>
        <a:p>
          <a:pPr lvl="1"/>
          <a:r>
            <a:rPr lang="en-US"/>
            <a:t>Short-term debt</a:t>
          </a:r>
        </a:p>
        <a:p>
          <a:pPr lvl="1"/>
          <a:r>
            <a:rPr lang="en-US"/>
            <a:t>Wages payable</a:t>
          </a:r>
        </a:p>
        <a:p>
          <a:pPr lvl="1"/>
          <a:r>
            <a:rPr lang="en-US"/>
            <a:t>Taxes payable</a:t>
          </a:r>
        </a:p>
        <a:p>
          <a:r>
            <a:rPr lang="en-US" b="1"/>
            <a:t>Interpretation of the Quick Ratio</a:t>
          </a:r>
        </a:p>
        <a:p>
          <a:r>
            <a:rPr lang="en-US" b="1"/>
            <a:t>Quick Ratio &gt; 1:</a:t>
          </a:r>
          <a:endParaRPr lang="en-US"/>
        </a:p>
        <a:p>
          <a:pPr lvl="1"/>
          <a:r>
            <a:rPr lang="en-US"/>
            <a:t>The company has more liquid assets than short-term liabilities.</a:t>
          </a:r>
        </a:p>
        <a:p>
          <a:pPr lvl="1"/>
          <a:r>
            <a:rPr lang="en-US"/>
            <a:t>It indicates strong financial health and the ability to cover obligations without relying on inventory sales.</a:t>
          </a:r>
        </a:p>
        <a:p>
          <a:r>
            <a:rPr lang="en-US" b="1"/>
            <a:t>Quick Ratio = 1:</a:t>
          </a:r>
          <a:endParaRPr lang="en-US"/>
        </a:p>
        <a:p>
          <a:pPr lvl="1"/>
          <a:r>
            <a:rPr lang="en-US"/>
            <a:t>The company can just cover its short-term liabilities using its most liquid assets.</a:t>
          </a:r>
        </a:p>
        <a:p>
          <a:r>
            <a:rPr lang="en-US" b="1"/>
            <a:t>Quick Ratio &lt; 1:</a:t>
          </a:r>
          <a:endParaRPr lang="en-US"/>
        </a:p>
        <a:p>
          <a:pPr lvl="1"/>
          <a:r>
            <a:rPr lang="en-US"/>
            <a:t>The company may struggle to meet short-term liabilities if it can't quickly convert assets into cash.</a:t>
          </a:r>
        </a:p>
        <a:p>
          <a:pPr lvl="1"/>
          <a:r>
            <a:rPr lang="en-US"/>
            <a:t>It could indicate potential liquidity issues.</a:t>
          </a:r>
        </a:p>
        <a:p>
          <a:r>
            <a:rPr lang="en-US" b="1"/>
            <a:t>Example Calculation</a:t>
          </a:r>
        </a:p>
        <a:p>
          <a:r>
            <a:rPr lang="en-US" b="1"/>
            <a:t>Scenario:</a:t>
          </a:r>
        </a:p>
        <a:p>
          <a:r>
            <a:rPr lang="en-US"/>
            <a:t>A company has the following financials:</a:t>
          </a:r>
        </a:p>
        <a:p>
          <a:r>
            <a:rPr lang="en-US" b="1"/>
            <a:t>Current Assets</a:t>
          </a:r>
          <a:r>
            <a:rPr lang="en-US"/>
            <a:t> = $500,000</a:t>
          </a:r>
        </a:p>
        <a:p>
          <a:r>
            <a:rPr lang="en-US" b="1"/>
            <a:t>Inventory</a:t>
          </a:r>
          <a:r>
            <a:rPr lang="en-US"/>
            <a:t> = $150,000</a:t>
          </a:r>
        </a:p>
        <a:p>
          <a:r>
            <a:rPr lang="en-US" b="1"/>
            <a:t>Prepaid Expenses</a:t>
          </a:r>
          <a:r>
            <a:rPr lang="en-US"/>
            <a:t> = $50,000</a:t>
          </a:r>
        </a:p>
        <a:p>
          <a:r>
            <a:rPr lang="en-US" b="1"/>
            <a:t>Current Liabilities</a:t>
          </a:r>
          <a:r>
            <a:rPr lang="en-US"/>
            <a:t> = $250,000</a:t>
          </a:r>
        </a:p>
        <a:p>
          <a:r>
            <a:rPr lang="en-US" b="1"/>
            <a:t>Step 1: Calculate Quick Assets</a:t>
          </a:r>
          <a:endParaRPr lang="en-US"/>
        </a:p>
        <a:p>
          <a:r>
            <a:rPr lang="en-US"/>
            <a:t>Quick Assets=500,000−150,000−50,000=300,000</a:t>
          </a:r>
        </a:p>
        <a:p>
          <a:r>
            <a:rPr lang="en-US" b="1"/>
            <a:t>Step 2: Compute Quick Ratio</a:t>
          </a:r>
          <a:endParaRPr lang="en-US"/>
        </a:p>
        <a:p>
          <a:r>
            <a:rPr lang="en-US"/>
            <a:t>Quick Ratio=300,000/250,000=1.2,</a:t>
          </a:r>
          <a:r>
            <a:rPr lang="en-US" baseline="0"/>
            <a:t> </a:t>
          </a:r>
          <a:r>
            <a:rPr lang="en-US" b="1"/>
            <a:t>quick ratio of 1.2</a:t>
          </a:r>
          <a:r>
            <a:rPr lang="en-US"/>
            <a:t> means the company has </a:t>
          </a:r>
          <a:r>
            <a:rPr lang="en-US" b="1"/>
            <a:t>$1.20 in highly liquid assets for every $1.00 of short-term liabilities</a:t>
          </a:r>
          <a:r>
            <a:rPr lang="en-US"/>
            <a:t>.</a:t>
          </a:r>
        </a:p>
        <a:p>
          <a:r>
            <a:rPr lang="en-US"/>
            <a:t>This suggests a healthy ability to cover short-term obligations.</a:t>
          </a:r>
        </a:p>
        <a:p>
          <a:endParaRPr lang="en-US"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0"/>
  <sheetViews>
    <sheetView topLeftCell="A20" workbookViewId="0">
      <selection activeCell="C5" sqref="C5"/>
    </sheetView>
  </sheetViews>
  <sheetFormatPr defaultRowHeight="14.4" x14ac:dyDescent="0.3"/>
  <sheetData>
    <row r="2" spans="2:22" x14ac:dyDescent="0.3">
      <c r="B2" t="s">
        <v>88</v>
      </c>
    </row>
    <row r="3" spans="2:22" x14ac:dyDescent="0.3">
      <c r="B3" t="s">
        <v>89</v>
      </c>
    </row>
    <row r="4" spans="2:22" x14ac:dyDescent="0.3">
      <c r="B4" t="s">
        <v>90</v>
      </c>
    </row>
    <row r="5" spans="2:22" x14ac:dyDescent="0.3">
      <c r="B5" t="s">
        <v>91</v>
      </c>
    </row>
    <row r="6" spans="2:22" ht="28.8" x14ac:dyDescent="0.3">
      <c r="B6" s="11" t="s">
        <v>135</v>
      </c>
      <c r="C6" s="12"/>
      <c r="D6" s="12"/>
      <c r="E6" s="12"/>
      <c r="F6" s="12"/>
      <c r="G6" s="12"/>
      <c r="H6" s="12"/>
      <c r="I6" s="12"/>
      <c r="J6" s="12"/>
      <c r="K6" s="12"/>
      <c r="L6" s="12"/>
      <c r="M6" s="12"/>
      <c r="N6" s="12"/>
      <c r="O6" s="12"/>
      <c r="P6" s="12"/>
      <c r="Q6" s="12"/>
      <c r="R6" s="12"/>
      <c r="S6" s="12"/>
      <c r="T6" s="12"/>
      <c r="U6" s="12"/>
      <c r="V6" s="12"/>
    </row>
    <row r="7" spans="2:22" x14ac:dyDescent="0.3">
      <c r="B7" t="s">
        <v>92</v>
      </c>
    </row>
    <row r="8" spans="2:22" x14ac:dyDescent="0.3">
      <c r="B8" t="s">
        <v>93</v>
      </c>
    </row>
    <row r="9" spans="2:22" x14ac:dyDescent="0.3">
      <c r="B9" t="s">
        <v>94</v>
      </c>
    </row>
    <row r="10" spans="2:22" x14ac:dyDescent="0.3">
      <c r="B10" t="s">
        <v>95</v>
      </c>
    </row>
    <row r="11" spans="2:22" x14ac:dyDescent="0.3">
      <c r="B11" t="s">
        <v>96</v>
      </c>
    </row>
    <row r="12" spans="2:22" x14ac:dyDescent="0.3">
      <c r="B12" t="s">
        <v>97</v>
      </c>
    </row>
    <row r="13" spans="2:22" x14ac:dyDescent="0.3">
      <c r="B13" t="s">
        <v>98</v>
      </c>
    </row>
    <row r="14" spans="2:22" x14ac:dyDescent="0.3">
      <c r="B14" t="s">
        <v>99</v>
      </c>
    </row>
    <row r="15" spans="2:22" x14ac:dyDescent="0.3">
      <c r="B15" t="s">
        <v>100</v>
      </c>
    </row>
    <row r="16" spans="2:22" x14ac:dyDescent="0.3">
      <c r="B16" t="s">
        <v>101</v>
      </c>
    </row>
    <row r="17" spans="2:2" x14ac:dyDescent="0.3">
      <c r="B17" t="s">
        <v>102</v>
      </c>
    </row>
    <row r="18" spans="2:2" x14ac:dyDescent="0.3">
      <c r="B18" t="s">
        <v>103</v>
      </c>
    </row>
    <row r="19" spans="2:2" x14ac:dyDescent="0.3">
      <c r="B19" t="s">
        <v>104</v>
      </c>
    </row>
    <row r="20" spans="2:2" x14ac:dyDescent="0.3">
      <c r="B20" t="s">
        <v>105</v>
      </c>
    </row>
    <row r="21" spans="2:2" x14ac:dyDescent="0.3">
      <c r="B21" t="s">
        <v>106</v>
      </c>
    </row>
    <row r="22" spans="2:2" x14ac:dyDescent="0.3">
      <c r="B22" t="s">
        <v>107</v>
      </c>
    </row>
    <row r="23" spans="2:2" x14ac:dyDescent="0.3">
      <c r="B23" t="s">
        <v>108</v>
      </c>
    </row>
    <row r="24" spans="2:2" x14ac:dyDescent="0.3">
      <c r="B24" t="s">
        <v>109</v>
      </c>
    </row>
    <row r="25" spans="2:2" x14ac:dyDescent="0.3">
      <c r="B25" t="s">
        <v>110</v>
      </c>
    </row>
    <row r="26" spans="2:2" x14ac:dyDescent="0.3">
      <c r="B26" t="s">
        <v>111</v>
      </c>
    </row>
    <row r="27" spans="2:2" x14ac:dyDescent="0.3">
      <c r="B27" t="s">
        <v>112</v>
      </c>
    </row>
    <row r="28" spans="2:2" x14ac:dyDescent="0.3">
      <c r="B28" t="s">
        <v>113</v>
      </c>
    </row>
    <row r="29" spans="2:2" x14ac:dyDescent="0.3">
      <c r="B29" t="s">
        <v>114</v>
      </c>
    </row>
    <row r="30" spans="2:2" x14ac:dyDescent="0.3">
      <c r="B30" t="s">
        <v>115</v>
      </c>
    </row>
    <row r="31" spans="2:2" x14ac:dyDescent="0.3">
      <c r="B31" t="s">
        <v>116</v>
      </c>
    </row>
    <row r="32" spans="2:2" x14ac:dyDescent="0.3">
      <c r="B32" t="s">
        <v>117</v>
      </c>
    </row>
    <row r="33" spans="2:2" x14ac:dyDescent="0.3">
      <c r="B33" t="s">
        <v>118</v>
      </c>
    </row>
    <row r="34" spans="2:2" x14ac:dyDescent="0.3">
      <c r="B34" t="s">
        <v>119</v>
      </c>
    </row>
    <row r="35" spans="2:2" x14ac:dyDescent="0.3">
      <c r="B35" t="s">
        <v>120</v>
      </c>
    </row>
    <row r="36" spans="2:2" x14ac:dyDescent="0.3">
      <c r="B36" t="s">
        <v>121</v>
      </c>
    </row>
    <row r="37" spans="2:2" x14ac:dyDescent="0.3">
      <c r="B37" t="s">
        <v>122</v>
      </c>
    </row>
    <row r="38" spans="2:2" x14ac:dyDescent="0.3">
      <c r="B38" t="s">
        <v>123</v>
      </c>
    </row>
    <row r="39" spans="2:2" x14ac:dyDescent="0.3">
      <c r="B39" t="s">
        <v>124</v>
      </c>
    </row>
    <row r="40" spans="2:2" x14ac:dyDescent="0.3">
      <c r="B40" t="s">
        <v>125</v>
      </c>
    </row>
    <row r="41" spans="2:2" x14ac:dyDescent="0.3">
      <c r="B41" t="s">
        <v>126</v>
      </c>
    </row>
    <row r="42" spans="2:2" x14ac:dyDescent="0.3">
      <c r="B42" t="s">
        <v>127</v>
      </c>
    </row>
    <row r="43" spans="2:2" x14ac:dyDescent="0.3">
      <c r="B43" t="s">
        <v>128</v>
      </c>
    </row>
    <row r="44" spans="2:2" x14ac:dyDescent="0.3">
      <c r="B44" t="s">
        <v>129</v>
      </c>
    </row>
    <row r="45" spans="2:2" x14ac:dyDescent="0.3">
      <c r="B45" t="s">
        <v>130</v>
      </c>
    </row>
    <row r="46" spans="2:2" x14ac:dyDescent="0.3">
      <c r="B46" t="s">
        <v>131</v>
      </c>
    </row>
    <row r="47" spans="2:2" x14ac:dyDescent="0.3">
      <c r="B47" t="s">
        <v>132</v>
      </c>
    </row>
    <row r="48" spans="2:2" x14ac:dyDescent="0.3">
      <c r="B48" t="s">
        <v>89</v>
      </c>
    </row>
    <row r="49" spans="2:2" x14ac:dyDescent="0.3">
      <c r="B49" t="s">
        <v>133</v>
      </c>
    </row>
    <row r="50" spans="2:2" x14ac:dyDescent="0.3">
      <c r="B50"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showGridLines="0" zoomScale="110" zoomScaleNormal="110" workbookViewId="0">
      <pane xSplit="3" ySplit="2" topLeftCell="D15" activePane="bottomRight" state="frozen"/>
      <selection pane="topRight" activeCell="D1" sqref="D1"/>
      <selection pane="bottomLeft" activeCell="A3" sqref="A3"/>
      <selection pane="bottomRight" activeCell="E10" sqref="E10"/>
    </sheetView>
  </sheetViews>
  <sheetFormatPr defaultRowHeight="14.4" x14ac:dyDescent="0.3"/>
  <cols>
    <col min="1" max="1" width="3.77734375" customWidth="1"/>
    <col min="2" max="2" width="27.33203125" bestFit="1" customWidth="1"/>
    <col min="3" max="3" width="15.44140625" bestFit="1" customWidth="1"/>
    <col min="4" max="4" width="48" bestFit="1" customWidth="1"/>
    <col min="5" max="8" width="14.109375" style="10" bestFit="1" customWidth="1"/>
  </cols>
  <sheetData>
    <row r="1" spans="2:8" ht="15" thickBot="1" x14ac:dyDescent="0.35"/>
    <row r="2" spans="2:8" x14ac:dyDescent="0.3">
      <c r="B2" s="17" t="s">
        <v>64</v>
      </c>
      <c r="C2" s="18" t="s">
        <v>70</v>
      </c>
      <c r="D2" s="17" t="s">
        <v>73</v>
      </c>
      <c r="E2" s="19" t="s">
        <v>71</v>
      </c>
      <c r="F2" s="19" t="s">
        <v>72</v>
      </c>
      <c r="G2" s="20" t="s">
        <v>71</v>
      </c>
      <c r="H2" s="20" t="s">
        <v>72</v>
      </c>
    </row>
    <row r="3" spans="2:8" x14ac:dyDescent="0.3">
      <c r="B3" s="14" t="s">
        <v>54</v>
      </c>
      <c r="C3" s="14" t="s">
        <v>17</v>
      </c>
      <c r="D3" s="14"/>
      <c r="E3" s="15">
        <f>2000000+1500000+250000</f>
        <v>3750000</v>
      </c>
      <c r="F3" s="15">
        <f>1500000+250000+100000+200000+50000+260000+350000+208800</f>
        <v>2918800</v>
      </c>
      <c r="G3" s="16">
        <f>E3-F3</f>
        <v>831200</v>
      </c>
      <c r="H3" s="16"/>
    </row>
    <row r="4" spans="2:8" x14ac:dyDescent="0.3">
      <c r="B4" s="14" t="s">
        <v>55</v>
      </c>
      <c r="C4" s="14" t="s">
        <v>17</v>
      </c>
      <c r="D4" s="14" t="s">
        <v>143</v>
      </c>
      <c r="E4" s="15">
        <v>200000</v>
      </c>
      <c r="F4" s="15"/>
      <c r="G4" s="16">
        <f t="shared" ref="G4:G12" si="0">E4-F4</f>
        <v>200000</v>
      </c>
      <c r="H4" s="16"/>
    </row>
    <row r="5" spans="2:8" x14ac:dyDescent="0.3">
      <c r="B5" s="14" t="s">
        <v>56</v>
      </c>
      <c r="C5" s="14" t="s">
        <v>17</v>
      </c>
      <c r="D5" s="14" t="s">
        <v>144</v>
      </c>
      <c r="E5" s="15">
        <v>5000000</v>
      </c>
      <c r="F5" s="15">
        <v>3750000</v>
      </c>
      <c r="G5" s="16">
        <f t="shared" si="0"/>
        <v>1250000</v>
      </c>
      <c r="H5" s="16"/>
    </row>
    <row r="6" spans="2:8" x14ac:dyDescent="0.3">
      <c r="B6" s="14" t="s">
        <v>57</v>
      </c>
      <c r="C6" s="14" t="s">
        <v>17</v>
      </c>
      <c r="D6" s="14"/>
      <c r="E6" s="15">
        <v>50000</v>
      </c>
      <c r="F6" s="15"/>
      <c r="G6" s="16">
        <f t="shared" si="0"/>
        <v>50000</v>
      </c>
      <c r="H6" s="16"/>
    </row>
    <row r="7" spans="2:8" x14ac:dyDescent="0.3">
      <c r="B7" s="14" t="s">
        <v>58</v>
      </c>
      <c r="C7" s="14" t="s">
        <v>17</v>
      </c>
      <c r="D7" s="14" t="s">
        <v>142</v>
      </c>
      <c r="E7" s="15">
        <f>3000000+2500000</f>
        <v>5500000</v>
      </c>
      <c r="F7" s="15">
        <v>3500000</v>
      </c>
      <c r="G7" s="16">
        <f t="shared" si="0"/>
        <v>2000000</v>
      </c>
      <c r="H7" s="16"/>
    </row>
    <row r="8" spans="2:8" x14ac:dyDescent="0.3">
      <c r="B8" s="14" t="s">
        <v>59</v>
      </c>
      <c r="C8" s="14" t="s">
        <v>17</v>
      </c>
      <c r="D8" s="14"/>
      <c r="E8" s="15">
        <v>100000</v>
      </c>
      <c r="F8" s="15"/>
      <c r="G8" s="16">
        <f t="shared" si="0"/>
        <v>100000</v>
      </c>
      <c r="H8" s="16"/>
    </row>
    <row r="9" spans="2:8" x14ac:dyDescent="0.3">
      <c r="B9" s="14" t="s">
        <v>60</v>
      </c>
      <c r="C9" s="14" t="s">
        <v>17</v>
      </c>
      <c r="D9" s="14"/>
      <c r="E9" s="15">
        <v>350000</v>
      </c>
      <c r="F9" s="15"/>
      <c r="G9" s="16">
        <f t="shared" si="0"/>
        <v>350000</v>
      </c>
      <c r="H9" s="16"/>
    </row>
    <row r="10" spans="2:8" x14ac:dyDescent="0.3">
      <c r="B10" s="14" t="s">
        <v>61</v>
      </c>
      <c r="C10" s="14" t="s">
        <v>17</v>
      </c>
      <c r="D10" s="14"/>
      <c r="E10" s="15">
        <f>310000</f>
        <v>310000</v>
      </c>
      <c r="F10" s="15">
        <v>0</v>
      </c>
      <c r="G10" s="16">
        <f t="shared" si="0"/>
        <v>310000</v>
      </c>
      <c r="H10" s="16"/>
    </row>
    <row r="11" spans="2:8" x14ac:dyDescent="0.3">
      <c r="B11" s="14" t="s">
        <v>150</v>
      </c>
      <c r="C11" s="14" t="s">
        <v>17</v>
      </c>
      <c r="D11" s="14"/>
      <c r="E11" s="15">
        <v>0</v>
      </c>
      <c r="F11" s="15">
        <v>62000</v>
      </c>
      <c r="G11" s="16">
        <v>0</v>
      </c>
      <c r="H11" s="16">
        <f>F11-E110</f>
        <v>62000</v>
      </c>
    </row>
    <row r="12" spans="2:8" x14ac:dyDescent="0.3">
      <c r="B12" s="14" t="s">
        <v>62</v>
      </c>
      <c r="C12" s="14" t="s">
        <v>17</v>
      </c>
      <c r="D12" s="14"/>
      <c r="E12" s="15">
        <v>0</v>
      </c>
      <c r="F12" s="15"/>
      <c r="G12" s="16">
        <f t="shared" si="0"/>
        <v>0</v>
      </c>
      <c r="H12" s="16"/>
    </row>
    <row r="13" spans="2:8" x14ac:dyDescent="0.3">
      <c r="B13" s="14" t="s">
        <v>63</v>
      </c>
      <c r="C13" s="14" t="s">
        <v>65</v>
      </c>
      <c r="D13" s="14"/>
      <c r="E13" s="15">
        <v>1500000</v>
      </c>
      <c r="F13" s="15">
        <v>2500000</v>
      </c>
      <c r="G13" s="16"/>
      <c r="H13" s="16">
        <f>F13-E13</f>
        <v>1000000</v>
      </c>
    </row>
    <row r="14" spans="2:8" x14ac:dyDescent="0.3">
      <c r="B14" s="14" t="s">
        <v>30</v>
      </c>
      <c r="C14" s="14" t="s">
        <v>65</v>
      </c>
      <c r="D14" s="14"/>
      <c r="E14" s="15"/>
      <c r="F14" s="15"/>
      <c r="G14" s="16"/>
      <c r="H14" s="16">
        <f t="shared" ref="H14:H26" si="1">F14-E14</f>
        <v>0</v>
      </c>
    </row>
    <row r="15" spans="2:8" x14ac:dyDescent="0.3">
      <c r="B15" s="14" t="s">
        <v>31</v>
      </c>
      <c r="C15" s="14" t="s">
        <v>65</v>
      </c>
      <c r="D15" s="14"/>
      <c r="E15" s="15"/>
      <c r="F15" s="15"/>
      <c r="G15" s="16"/>
      <c r="H15" s="16">
        <f t="shared" si="1"/>
        <v>0</v>
      </c>
    </row>
    <row r="16" spans="2:8" x14ac:dyDescent="0.3">
      <c r="B16" s="14" t="s">
        <v>32</v>
      </c>
      <c r="C16" s="14" t="s">
        <v>65</v>
      </c>
      <c r="D16" s="14"/>
      <c r="E16" s="15"/>
      <c r="F16" s="15"/>
      <c r="G16" s="16"/>
      <c r="H16" s="16">
        <f t="shared" si="1"/>
        <v>0</v>
      </c>
    </row>
    <row r="17" spans="2:8" x14ac:dyDescent="0.3">
      <c r="B17" s="14" t="s">
        <v>33</v>
      </c>
      <c r="C17" s="14" t="s">
        <v>65</v>
      </c>
      <c r="D17" s="14"/>
      <c r="E17" s="15"/>
      <c r="F17" s="15">
        <f>12000*12</f>
        <v>144000</v>
      </c>
      <c r="G17" s="16"/>
      <c r="H17" s="16">
        <f t="shared" si="1"/>
        <v>144000</v>
      </c>
    </row>
    <row r="18" spans="2:8" x14ac:dyDescent="0.3">
      <c r="B18" s="14" t="s">
        <v>34</v>
      </c>
      <c r="C18" s="14" t="s">
        <v>65</v>
      </c>
      <c r="D18" s="14" t="s">
        <v>147</v>
      </c>
      <c r="E18" s="15">
        <f>417600/2</f>
        <v>208800</v>
      </c>
      <c r="F18" s="15">
        <f>'Liquidity,Solvency'!C58</f>
        <v>417600</v>
      </c>
      <c r="G18" s="16"/>
      <c r="H18" s="16">
        <f t="shared" si="1"/>
        <v>208800</v>
      </c>
    </row>
    <row r="19" spans="2:8" x14ac:dyDescent="0.3">
      <c r="B19" s="14" t="s">
        <v>29</v>
      </c>
      <c r="C19" s="14" t="s">
        <v>65</v>
      </c>
      <c r="D19" s="14"/>
      <c r="E19" s="15"/>
      <c r="F19" s="15"/>
      <c r="G19" s="16"/>
      <c r="H19" s="16">
        <f t="shared" si="1"/>
        <v>0</v>
      </c>
    </row>
    <row r="20" spans="2:8" x14ac:dyDescent="0.3">
      <c r="B20" s="14" t="s">
        <v>20</v>
      </c>
      <c r="C20" s="14" t="s">
        <v>65</v>
      </c>
      <c r="D20" s="14"/>
      <c r="E20" s="15"/>
      <c r="F20" s="15"/>
      <c r="G20" s="16"/>
      <c r="H20" s="16">
        <f t="shared" si="1"/>
        <v>0</v>
      </c>
    </row>
    <row r="21" spans="2:8" x14ac:dyDescent="0.3">
      <c r="B21" s="14" t="s">
        <v>22</v>
      </c>
      <c r="C21" s="14" t="s">
        <v>65</v>
      </c>
      <c r="D21" s="14"/>
      <c r="E21" s="15"/>
      <c r="F21" s="15"/>
      <c r="G21" s="16"/>
      <c r="H21" s="16">
        <f t="shared" si="1"/>
        <v>0</v>
      </c>
    </row>
    <row r="22" spans="2:8" x14ac:dyDescent="0.3">
      <c r="B22" s="14" t="s">
        <v>23</v>
      </c>
      <c r="C22" s="14" t="s">
        <v>65</v>
      </c>
      <c r="D22" s="14"/>
      <c r="E22" s="15"/>
      <c r="F22" s="15"/>
      <c r="G22" s="16"/>
      <c r="H22" s="16">
        <f t="shared" si="1"/>
        <v>0</v>
      </c>
    </row>
    <row r="23" spans="2:8" x14ac:dyDescent="0.3">
      <c r="B23" s="14" t="s">
        <v>44</v>
      </c>
      <c r="C23" s="14" t="s">
        <v>66</v>
      </c>
      <c r="D23" s="14" t="s">
        <v>138</v>
      </c>
      <c r="E23" s="15"/>
      <c r="F23" s="15">
        <f>100000*30</f>
        <v>3000000</v>
      </c>
      <c r="G23" s="16"/>
      <c r="H23" s="16">
        <f t="shared" si="1"/>
        <v>3000000</v>
      </c>
    </row>
    <row r="24" spans="2:8" x14ac:dyDescent="0.3">
      <c r="B24" s="14" t="s">
        <v>45</v>
      </c>
      <c r="C24" s="14" t="s">
        <v>66</v>
      </c>
      <c r="D24" s="14" t="s">
        <v>139</v>
      </c>
      <c r="E24" s="15"/>
      <c r="F24" s="15">
        <f>50000*1</f>
        <v>50000</v>
      </c>
      <c r="G24" s="16"/>
      <c r="H24" s="16">
        <f t="shared" si="1"/>
        <v>50000</v>
      </c>
    </row>
    <row r="25" spans="2:8" x14ac:dyDescent="0.3">
      <c r="B25" s="14" t="s">
        <v>46</v>
      </c>
      <c r="C25" s="14" t="s">
        <v>66</v>
      </c>
      <c r="D25" s="14"/>
      <c r="E25" s="15"/>
      <c r="F25" s="15"/>
      <c r="G25" s="16"/>
      <c r="H25" s="16">
        <f t="shared" si="1"/>
        <v>0</v>
      </c>
    </row>
    <row r="26" spans="2:8" x14ac:dyDescent="0.3">
      <c r="B26" s="14" t="s">
        <v>47</v>
      </c>
      <c r="C26" s="14" t="s">
        <v>66</v>
      </c>
      <c r="D26" s="14"/>
      <c r="E26" s="15"/>
      <c r="F26" s="15"/>
      <c r="G26" s="16"/>
      <c r="H26" s="16">
        <f t="shared" si="1"/>
        <v>0</v>
      </c>
    </row>
    <row r="27" spans="2:8" x14ac:dyDescent="0.3">
      <c r="B27" s="14" t="s">
        <v>67</v>
      </c>
      <c r="C27" s="14" t="s">
        <v>68</v>
      </c>
      <c r="D27" s="14"/>
      <c r="E27" s="15"/>
      <c r="F27" s="15">
        <v>5000000</v>
      </c>
      <c r="G27" s="16"/>
      <c r="H27" s="16">
        <f>F27-E27</f>
        <v>5000000</v>
      </c>
    </row>
    <row r="28" spans="2:8" x14ac:dyDescent="0.3">
      <c r="B28" s="14" t="s">
        <v>77</v>
      </c>
      <c r="C28" s="14" t="s">
        <v>69</v>
      </c>
      <c r="D28" s="14" t="s">
        <v>145</v>
      </c>
      <c r="E28" s="15">
        <v>3500000</v>
      </c>
      <c r="F28" s="15"/>
      <c r="G28" s="16">
        <f>E28-F28</f>
        <v>3500000</v>
      </c>
      <c r="H28" s="16"/>
    </row>
    <row r="29" spans="2:8" x14ac:dyDescent="0.3">
      <c r="B29" s="14" t="s">
        <v>79</v>
      </c>
      <c r="C29" s="14" t="s">
        <v>69</v>
      </c>
      <c r="D29" s="14"/>
      <c r="E29" s="15">
        <f>12000*12</f>
        <v>144000</v>
      </c>
      <c r="F29" s="15"/>
      <c r="G29" s="16">
        <f t="shared" ref="G29:G31" si="2">E29-F29</f>
        <v>144000</v>
      </c>
      <c r="H29" s="16"/>
    </row>
    <row r="30" spans="2:8" x14ac:dyDescent="0.3">
      <c r="B30" s="14" t="s">
        <v>81</v>
      </c>
      <c r="C30" s="14" t="s">
        <v>69</v>
      </c>
      <c r="D30" s="14" t="s">
        <v>141</v>
      </c>
      <c r="E30" s="15">
        <v>250000</v>
      </c>
      <c r="F30" s="15"/>
      <c r="G30" s="16">
        <f t="shared" si="2"/>
        <v>250000</v>
      </c>
      <c r="H30" s="16"/>
    </row>
    <row r="31" spans="2:8" x14ac:dyDescent="0.3">
      <c r="B31" s="14" t="s">
        <v>82</v>
      </c>
      <c r="C31" s="14" t="s">
        <v>69</v>
      </c>
      <c r="D31" s="14"/>
      <c r="E31" s="15">
        <v>62000</v>
      </c>
      <c r="F31" s="15"/>
      <c r="G31" s="16">
        <f t="shared" si="2"/>
        <v>62000</v>
      </c>
      <c r="H31" s="16"/>
    </row>
    <row r="32" spans="2:8" x14ac:dyDescent="0.3">
      <c r="B32" s="14" t="s">
        <v>83</v>
      </c>
      <c r="C32" s="14" t="s">
        <v>69</v>
      </c>
      <c r="D32" s="14"/>
      <c r="E32" s="15"/>
      <c r="F32" s="15"/>
      <c r="G32" s="16"/>
      <c r="H32" s="16">
        <f>F32-E32</f>
        <v>0</v>
      </c>
    </row>
    <row r="33" spans="2:8" x14ac:dyDescent="0.3">
      <c r="B33" s="14" t="s">
        <v>80</v>
      </c>
      <c r="C33" s="14" t="s">
        <v>69</v>
      </c>
      <c r="D33" s="14"/>
      <c r="E33" s="15"/>
      <c r="F33" s="15"/>
      <c r="G33" s="16">
        <f>E33-F33</f>
        <v>0</v>
      </c>
      <c r="H33" s="16"/>
    </row>
    <row r="34" spans="2:8" x14ac:dyDescent="0.3">
      <c r="B34" s="14" t="s">
        <v>136</v>
      </c>
      <c r="C34" s="14" t="s">
        <v>68</v>
      </c>
      <c r="D34" s="14"/>
      <c r="E34" s="15"/>
      <c r="F34" s="15"/>
      <c r="G34" s="16"/>
      <c r="H34" s="16">
        <f>F34-E34</f>
        <v>0</v>
      </c>
    </row>
    <row r="35" spans="2:8" x14ac:dyDescent="0.3">
      <c r="B35" s="14" t="s">
        <v>137</v>
      </c>
      <c r="C35" s="14" t="s">
        <v>69</v>
      </c>
      <c r="D35" s="14"/>
      <c r="E35" s="15"/>
      <c r="F35" s="15"/>
      <c r="G35" s="16">
        <f>E35-F35</f>
        <v>0</v>
      </c>
      <c r="H35" s="16"/>
    </row>
    <row r="36" spans="2:8" ht="15" thickBot="1" x14ac:dyDescent="0.35">
      <c r="B36" s="14" t="s">
        <v>86</v>
      </c>
      <c r="C36" s="14" t="s">
        <v>69</v>
      </c>
      <c r="D36" s="22"/>
      <c r="E36" s="15">
        <f>'Liquidity,Solvency'!C58</f>
        <v>417600</v>
      </c>
      <c r="F36" s="15"/>
      <c r="G36" s="16">
        <f>E36-F36</f>
        <v>417600</v>
      </c>
      <c r="H36" s="16"/>
    </row>
    <row r="37" spans="2:8" ht="15" thickBot="1" x14ac:dyDescent="0.35">
      <c r="B37" s="21" t="s">
        <v>140</v>
      </c>
      <c r="C37" s="21"/>
      <c r="D37" s="21"/>
      <c r="E37" s="13">
        <f>SUM(E3:E36)</f>
        <v>21342400</v>
      </c>
      <c r="F37" s="13">
        <f t="shared" ref="F37:H37" si="3">SUM(F3:F36)</f>
        <v>21342400</v>
      </c>
      <c r="G37" s="13">
        <f t="shared" si="3"/>
        <v>9464800</v>
      </c>
      <c r="H37" s="13">
        <f t="shared" si="3"/>
        <v>9464800</v>
      </c>
    </row>
    <row r="38" spans="2:8" ht="15" thickTop="1" x14ac:dyDescent="0.3">
      <c r="E38" s="84" t="b">
        <f>IF(E37-F37&lt;&gt;0, FALSE,TRUE)</f>
        <v>1</v>
      </c>
      <c r="F38" s="84"/>
      <c r="G38" s="84" t="b">
        <f>IF(G37-H37&lt;&gt;0, FALSE,TRUE)</f>
        <v>1</v>
      </c>
      <c r="H38" s="84"/>
    </row>
    <row r="41" spans="2:8" x14ac:dyDescent="0.3">
      <c r="H41" s="10">
        <f>G37-H37</f>
        <v>0</v>
      </c>
    </row>
  </sheetData>
  <mergeCells count="2">
    <mergeCell ref="E38:F38"/>
    <mergeCell ref="G38:H38"/>
  </mergeCells>
  <conditionalFormatting sqref="E38:H38">
    <cfRule type="cellIs" dxfId="13" priority="1" operator="equal">
      <formula>FALSE</formula>
    </cfRule>
    <cfRule type="cellIs" dxfId="12" priority="2" operator="equal">
      <formula>TRUE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showGridLines="0" zoomScale="110" zoomScaleNormal="110" workbookViewId="0">
      <pane xSplit="3" ySplit="2" topLeftCell="D24" activePane="bottomRight" state="frozen"/>
      <selection pane="topRight" activeCell="D1" sqref="D1"/>
      <selection pane="bottomLeft" activeCell="A3" sqref="A3"/>
      <selection pane="bottomRight" activeCell="F3" sqref="F3"/>
    </sheetView>
  </sheetViews>
  <sheetFormatPr defaultRowHeight="14.4" x14ac:dyDescent="0.3"/>
  <cols>
    <col min="1" max="1" width="3.77734375" customWidth="1"/>
    <col min="2" max="2" width="27.33203125" bestFit="1" customWidth="1"/>
    <col min="3" max="3" width="15.44140625" bestFit="1" customWidth="1"/>
    <col min="4" max="4" width="48" bestFit="1" customWidth="1"/>
    <col min="5" max="5" width="14.109375" style="10" bestFit="1" customWidth="1"/>
    <col min="6" max="6" width="14.88671875" style="10" bestFit="1" customWidth="1"/>
    <col min="7" max="8" width="14.109375" style="10" bestFit="1" customWidth="1"/>
  </cols>
  <sheetData>
    <row r="1" spans="2:8" ht="15" thickBot="1" x14ac:dyDescent="0.35"/>
    <row r="2" spans="2:8" x14ac:dyDescent="0.3">
      <c r="B2" s="17" t="s">
        <v>64</v>
      </c>
      <c r="C2" s="18" t="s">
        <v>70</v>
      </c>
      <c r="D2" s="17" t="s">
        <v>73</v>
      </c>
      <c r="E2" s="19" t="s">
        <v>71</v>
      </c>
      <c r="F2" s="19" t="s">
        <v>72</v>
      </c>
      <c r="G2" s="26" t="s">
        <v>71</v>
      </c>
      <c r="H2" s="26" t="s">
        <v>72</v>
      </c>
    </row>
    <row r="3" spans="2:8" x14ac:dyDescent="0.3">
      <c r="B3" s="14" t="s">
        <v>54</v>
      </c>
      <c r="C3" s="14" t="s">
        <v>17</v>
      </c>
      <c r="D3" s="14"/>
      <c r="E3" s="15">
        <f>831200+500000+3880000+250000+30000</f>
        <v>5491200</v>
      </c>
      <c r="F3" s="15">
        <f>12000*12+5000+1000000+2080000+350000+75000+600000</f>
        <v>4254000</v>
      </c>
      <c r="G3" s="16">
        <f>E3-F3</f>
        <v>1237200</v>
      </c>
      <c r="H3" s="16"/>
    </row>
    <row r="4" spans="2:8" x14ac:dyDescent="0.3">
      <c r="B4" s="14" t="s">
        <v>55</v>
      </c>
      <c r="C4" s="14" t="s">
        <v>17</v>
      </c>
      <c r="D4" s="14" t="s">
        <v>143</v>
      </c>
      <c r="E4" s="15">
        <f>200000+75000</f>
        <v>275000</v>
      </c>
      <c r="F4" s="15"/>
      <c r="G4" s="16">
        <f t="shared" ref="G4:G12" si="0">E4-F4</f>
        <v>275000</v>
      </c>
      <c r="H4" s="16"/>
    </row>
    <row r="5" spans="2:8" x14ac:dyDescent="0.3">
      <c r="B5" s="14" t="s">
        <v>56</v>
      </c>
      <c r="C5" s="14" t="s">
        <v>17</v>
      </c>
      <c r="D5" s="14" t="s">
        <v>144</v>
      </c>
      <c r="E5" s="15">
        <f>1250000+6000000+800000</f>
        <v>8050000</v>
      </c>
      <c r="F5" s="15">
        <v>3880000</v>
      </c>
      <c r="G5" s="16">
        <f t="shared" si="0"/>
        <v>4170000</v>
      </c>
      <c r="H5" s="16"/>
    </row>
    <row r="6" spans="2:8" x14ac:dyDescent="0.3">
      <c r="B6" s="14" t="s">
        <v>57</v>
      </c>
      <c r="C6" s="14" t="s">
        <v>17</v>
      </c>
      <c r="D6" s="14"/>
      <c r="E6" s="15">
        <v>50000</v>
      </c>
      <c r="F6" s="15">
        <v>30000</v>
      </c>
      <c r="G6" s="16">
        <f t="shared" si="0"/>
        <v>20000</v>
      </c>
      <c r="H6" s="16"/>
    </row>
    <row r="7" spans="2:8" x14ac:dyDescent="0.3">
      <c r="B7" s="14" t="s">
        <v>58</v>
      </c>
      <c r="C7" s="14" t="s">
        <v>17</v>
      </c>
      <c r="D7" s="14" t="s">
        <v>142</v>
      </c>
      <c r="E7" s="15">
        <f>2000000+4200000+350000</f>
        <v>6550000</v>
      </c>
      <c r="F7" s="15">
        <f>4200000+560000</f>
        <v>4760000</v>
      </c>
      <c r="G7" s="16">
        <f t="shared" si="0"/>
        <v>1790000</v>
      </c>
      <c r="H7" s="16"/>
    </row>
    <row r="8" spans="2:8" x14ac:dyDescent="0.3">
      <c r="B8" s="14" t="s">
        <v>59</v>
      </c>
      <c r="C8" s="14" t="s">
        <v>17</v>
      </c>
      <c r="D8" s="14"/>
      <c r="E8" s="15">
        <v>100000</v>
      </c>
      <c r="F8" s="15">
        <v>70000</v>
      </c>
      <c r="G8" s="16">
        <f t="shared" si="0"/>
        <v>30000</v>
      </c>
      <c r="H8" s="16"/>
    </row>
    <row r="9" spans="2:8" x14ac:dyDescent="0.3">
      <c r="B9" s="14" t="s">
        <v>60</v>
      </c>
      <c r="C9" s="14" t="s">
        <v>17</v>
      </c>
      <c r="D9" s="14"/>
      <c r="E9" s="15">
        <v>350000</v>
      </c>
      <c r="F9" s="15">
        <v>0</v>
      </c>
      <c r="G9" s="16">
        <f t="shared" si="0"/>
        <v>350000</v>
      </c>
      <c r="H9" s="16"/>
    </row>
    <row r="10" spans="2:8" x14ac:dyDescent="0.3">
      <c r="B10" s="14" t="s">
        <v>61</v>
      </c>
      <c r="C10" s="14" t="s">
        <v>17</v>
      </c>
      <c r="D10" s="14"/>
      <c r="E10" s="15">
        <v>310000</v>
      </c>
      <c r="F10" s="15"/>
      <c r="G10" s="16">
        <f t="shared" si="0"/>
        <v>310000</v>
      </c>
      <c r="H10" s="16"/>
    </row>
    <row r="11" spans="2:8" x14ac:dyDescent="0.3">
      <c r="B11" s="14" t="s">
        <v>150</v>
      </c>
      <c r="C11" s="14" t="s">
        <v>17</v>
      </c>
      <c r="D11" s="14"/>
      <c r="E11" s="15"/>
      <c r="F11" s="15">
        <f>62000+62000</f>
        <v>124000</v>
      </c>
      <c r="G11" s="16"/>
      <c r="H11" s="16">
        <f>F11-E11</f>
        <v>124000</v>
      </c>
    </row>
    <row r="12" spans="2:8" x14ac:dyDescent="0.3">
      <c r="B12" s="14" t="s">
        <v>62</v>
      </c>
      <c r="C12" s="14" t="s">
        <v>17</v>
      </c>
      <c r="D12" s="14"/>
      <c r="E12" s="15">
        <v>0</v>
      </c>
      <c r="F12" s="15"/>
      <c r="G12" s="16">
        <f t="shared" si="0"/>
        <v>0</v>
      </c>
      <c r="H12" s="16"/>
    </row>
    <row r="13" spans="2:8" x14ac:dyDescent="0.3">
      <c r="B13" s="14" t="s">
        <v>63</v>
      </c>
      <c r="C13" s="14" t="s">
        <v>65</v>
      </c>
      <c r="D13" s="14"/>
      <c r="E13" s="15">
        <f>2080000+70000</f>
        <v>2150000</v>
      </c>
      <c r="F13" s="15">
        <f>1000000+4200000</f>
        <v>5200000</v>
      </c>
      <c r="G13" s="16"/>
      <c r="H13" s="16">
        <f>F13-E13</f>
        <v>3050000</v>
      </c>
    </row>
    <row r="14" spans="2:8" x14ac:dyDescent="0.3">
      <c r="B14" s="14" t="s">
        <v>30</v>
      </c>
      <c r="C14" s="14" t="s">
        <v>65</v>
      </c>
      <c r="D14" s="14"/>
      <c r="E14" s="15"/>
      <c r="F14" s="15">
        <v>0</v>
      </c>
      <c r="G14" s="16"/>
      <c r="H14" s="16">
        <f t="shared" ref="H14:H26" si="1">F14-E14</f>
        <v>0</v>
      </c>
    </row>
    <row r="15" spans="2:8" x14ac:dyDescent="0.3">
      <c r="B15" s="14" t="s">
        <v>31</v>
      </c>
      <c r="C15" s="14" t="s">
        <v>65</v>
      </c>
      <c r="D15" s="14"/>
      <c r="E15" s="15"/>
      <c r="F15" s="15">
        <v>0</v>
      </c>
      <c r="G15" s="16"/>
      <c r="H15" s="16">
        <f t="shared" si="1"/>
        <v>0</v>
      </c>
    </row>
    <row r="16" spans="2:8" x14ac:dyDescent="0.3">
      <c r="B16" s="14" t="s">
        <v>32</v>
      </c>
      <c r="C16" s="14" t="s">
        <v>65</v>
      </c>
      <c r="D16" s="14"/>
      <c r="E16" s="15"/>
      <c r="F16" s="15">
        <v>0</v>
      </c>
      <c r="G16" s="16"/>
      <c r="H16" s="16">
        <f t="shared" si="1"/>
        <v>0</v>
      </c>
    </row>
    <row r="17" spans="2:8" x14ac:dyDescent="0.3">
      <c r="B17" s="14" t="s">
        <v>33</v>
      </c>
      <c r="C17" s="14" t="s">
        <v>65</v>
      </c>
      <c r="D17" s="14"/>
      <c r="E17" s="15"/>
      <c r="F17" s="15">
        <v>144000</v>
      </c>
      <c r="G17" s="16"/>
      <c r="H17" s="16">
        <f t="shared" si="1"/>
        <v>144000</v>
      </c>
    </row>
    <row r="18" spans="2:8" x14ac:dyDescent="0.3">
      <c r="B18" s="14" t="s">
        <v>34</v>
      </c>
      <c r="C18" s="14" t="s">
        <v>65</v>
      </c>
      <c r="D18" s="14" t="s">
        <v>147</v>
      </c>
      <c r="E18" s="15">
        <v>600000</v>
      </c>
      <c r="F18" s="15">
        <f>208800+631600</f>
        <v>840400</v>
      </c>
      <c r="G18" s="16"/>
      <c r="H18" s="16">
        <f t="shared" si="1"/>
        <v>240400</v>
      </c>
    </row>
    <row r="19" spans="2:8" x14ac:dyDescent="0.3">
      <c r="B19" s="14" t="s">
        <v>29</v>
      </c>
      <c r="C19" s="14" t="s">
        <v>65</v>
      </c>
      <c r="D19" s="14"/>
      <c r="E19" s="15"/>
      <c r="F19" s="15">
        <v>0</v>
      </c>
      <c r="G19" s="16"/>
      <c r="H19" s="16">
        <f t="shared" si="1"/>
        <v>0</v>
      </c>
    </row>
    <row r="20" spans="2:8" x14ac:dyDescent="0.3">
      <c r="B20" s="14" t="s">
        <v>20</v>
      </c>
      <c r="C20" s="14" t="s">
        <v>65</v>
      </c>
      <c r="D20" s="14"/>
      <c r="E20" s="15"/>
      <c r="F20" s="15">
        <v>0</v>
      </c>
      <c r="G20" s="16"/>
      <c r="H20" s="16">
        <f t="shared" si="1"/>
        <v>0</v>
      </c>
    </row>
    <row r="21" spans="2:8" x14ac:dyDescent="0.3">
      <c r="B21" s="14" t="s">
        <v>22</v>
      </c>
      <c r="C21" s="14" t="s">
        <v>65</v>
      </c>
      <c r="D21" s="14"/>
      <c r="E21" s="15"/>
      <c r="F21" s="15">
        <v>0</v>
      </c>
      <c r="G21" s="16"/>
      <c r="H21" s="16">
        <f t="shared" si="1"/>
        <v>0</v>
      </c>
    </row>
    <row r="22" spans="2:8" x14ac:dyDescent="0.3">
      <c r="B22" s="14" t="s">
        <v>23</v>
      </c>
      <c r="C22" s="14" t="s">
        <v>65</v>
      </c>
      <c r="D22" s="14"/>
      <c r="E22" s="15"/>
      <c r="F22" s="15">
        <v>0</v>
      </c>
      <c r="G22" s="16"/>
      <c r="H22" s="16">
        <f t="shared" si="1"/>
        <v>0</v>
      </c>
    </row>
    <row r="23" spans="2:8" x14ac:dyDescent="0.3">
      <c r="B23" s="14" t="s">
        <v>44</v>
      </c>
      <c r="C23" s="14" t="s">
        <v>66</v>
      </c>
      <c r="D23" s="14" t="s">
        <v>138</v>
      </c>
      <c r="E23" s="15"/>
      <c r="F23" s="15">
        <v>3000000</v>
      </c>
      <c r="G23" s="16"/>
      <c r="H23" s="16">
        <f t="shared" si="1"/>
        <v>3000000</v>
      </c>
    </row>
    <row r="24" spans="2:8" x14ac:dyDescent="0.3">
      <c r="B24" s="14" t="s">
        <v>45</v>
      </c>
      <c r="C24" s="14" t="s">
        <v>66</v>
      </c>
      <c r="D24" s="14" t="s">
        <v>139</v>
      </c>
      <c r="E24" s="15"/>
      <c r="F24" s="15">
        <v>50000</v>
      </c>
      <c r="G24" s="16"/>
      <c r="H24" s="16">
        <f t="shared" si="1"/>
        <v>50000</v>
      </c>
    </row>
    <row r="25" spans="2:8" x14ac:dyDescent="0.3">
      <c r="B25" s="14" t="s">
        <v>46</v>
      </c>
      <c r="C25" s="14" t="s">
        <v>66</v>
      </c>
      <c r="D25" s="14"/>
      <c r="E25" s="15"/>
      <c r="F25" s="15">
        <v>0</v>
      </c>
      <c r="G25" s="16"/>
      <c r="H25" s="16">
        <f t="shared" si="1"/>
        <v>0</v>
      </c>
    </row>
    <row r="26" spans="2:8" x14ac:dyDescent="0.3">
      <c r="B26" s="14" t="s">
        <v>47</v>
      </c>
      <c r="C26" s="14" t="s">
        <v>66</v>
      </c>
      <c r="D26" s="14"/>
      <c r="E26" s="15"/>
      <c r="F26" s="15">
        <v>626400</v>
      </c>
      <c r="G26" s="16"/>
      <c r="H26" s="16">
        <f t="shared" si="1"/>
        <v>626400</v>
      </c>
    </row>
    <row r="27" spans="2:8" x14ac:dyDescent="0.3">
      <c r="B27" s="14" t="s">
        <v>67</v>
      </c>
      <c r="C27" s="14" t="s">
        <v>68</v>
      </c>
      <c r="D27" s="14"/>
      <c r="E27" s="15"/>
      <c r="F27" s="15">
        <f>6000000+800000</f>
        <v>6800000</v>
      </c>
      <c r="G27" s="16"/>
      <c r="H27" s="16">
        <f>F27-E27</f>
        <v>6800000</v>
      </c>
    </row>
    <row r="28" spans="2:8" x14ac:dyDescent="0.3">
      <c r="B28" s="14" t="s">
        <v>77</v>
      </c>
      <c r="C28" s="14" t="s">
        <v>69</v>
      </c>
      <c r="D28" s="14"/>
      <c r="E28" s="15">
        <f>4200000+560000</f>
        <v>4760000</v>
      </c>
      <c r="F28" s="15"/>
      <c r="G28" s="16">
        <f>E28-F28</f>
        <v>4760000</v>
      </c>
      <c r="H28" s="16"/>
    </row>
    <row r="29" spans="2:8" x14ac:dyDescent="0.3">
      <c r="B29" s="14" t="s">
        <v>79</v>
      </c>
      <c r="C29" s="14" t="s">
        <v>69</v>
      </c>
      <c r="D29" s="14"/>
      <c r="E29" s="15">
        <f>12000*12</f>
        <v>144000</v>
      </c>
      <c r="F29" s="15"/>
      <c r="G29" s="16">
        <f t="shared" ref="G29:G30" si="2">E29-F29</f>
        <v>144000</v>
      </c>
      <c r="H29" s="16"/>
    </row>
    <row r="30" spans="2:8" x14ac:dyDescent="0.3">
      <c r="B30" s="14" t="s">
        <v>81</v>
      </c>
      <c r="C30" s="14" t="s">
        <v>69</v>
      </c>
      <c r="D30" s="14" t="s">
        <v>141</v>
      </c>
      <c r="E30" s="15">
        <v>5000</v>
      </c>
      <c r="F30" s="15"/>
      <c r="G30" s="16">
        <f t="shared" si="2"/>
        <v>5000</v>
      </c>
      <c r="H30" s="16"/>
    </row>
    <row r="31" spans="2:8" x14ac:dyDescent="0.3">
      <c r="B31" s="14" t="s">
        <v>82</v>
      </c>
      <c r="C31" s="14" t="s">
        <v>69</v>
      </c>
      <c r="D31" s="14"/>
      <c r="E31" s="15">
        <v>62000</v>
      </c>
      <c r="F31" s="15"/>
      <c r="G31" s="16">
        <f>E31-F31</f>
        <v>62000</v>
      </c>
      <c r="H31" s="16"/>
    </row>
    <row r="32" spans="2:8" x14ac:dyDescent="0.3">
      <c r="B32" s="14" t="s">
        <v>83</v>
      </c>
      <c r="C32" s="14" t="s">
        <v>69</v>
      </c>
      <c r="D32" s="14"/>
      <c r="E32" s="15"/>
      <c r="F32" s="15">
        <v>250000</v>
      </c>
      <c r="G32" s="16"/>
      <c r="H32" s="16">
        <f>F32-E32</f>
        <v>250000</v>
      </c>
    </row>
    <row r="33" spans="2:8" x14ac:dyDescent="0.3">
      <c r="B33" s="14" t="s">
        <v>80</v>
      </c>
      <c r="C33" s="14" t="s">
        <v>69</v>
      </c>
      <c r="D33" s="14"/>
      <c r="E33" s="15">
        <v>1000000</v>
      </c>
      <c r="F33" s="15"/>
      <c r="G33" s="16">
        <f>E33-F33</f>
        <v>1000000</v>
      </c>
      <c r="H33" s="16"/>
    </row>
    <row r="34" spans="2:8" x14ac:dyDescent="0.3">
      <c r="B34" s="14" t="s">
        <v>136</v>
      </c>
      <c r="C34" s="14" t="s">
        <v>68</v>
      </c>
      <c r="D34" s="14"/>
      <c r="E34" s="15"/>
      <c r="F34" s="15">
        <v>500000</v>
      </c>
      <c r="G34" s="16"/>
      <c r="H34" s="16">
        <f>F34-E34</f>
        <v>500000</v>
      </c>
    </row>
    <row r="35" spans="2:8" x14ac:dyDescent="0.3">
      <c r="B35" s="14" t="s">
        <v>137</v>
      </c>
      <c r="C35" s="14" t="s">
        <v>69</v>
      </c>
      <c r="D35" s="14"/>
      <c r="E35" s="15"/>
      <c r="F35" s="15"/>
      <c r="G35" s="16">
        <f>E35-F35</f>
        <v>0</v>
      </c>
      <c r="H35" s="16"/>
    </row>
    <row r="36" spans="2:8" ht="15" thickBot="1" x14ac:dyDescent="0.35">
      <c r="B36" s="14" t="s">
        <v>86</v>
      </c>
      <c r="C36" s="14" t="s">
        <v>69</v>
      </c>
      <c r="D36" s="22"/>
      <c r="E36" s="15">
        <f>'Liquidity,Solvency'!D58</f>
        <v>631600</v>
      </c>
      <c r="F36" s="15">
        <v>0</v>
      </c>
      <c r="G36" s="16">
        <f>E36-F36</f>
        <v>631600</v>
      </c>
      <c r="H36" s="16"/>
    </row>
    <row r="37" spans="2:8" ht="15" thickBot="1" x14ac:dyDescent="0.35">
      <c r="B37" s="21" t="s">
        <v>140</v>
      </c>
      <c r="C37" s="21"/>
      <c r="D37" s="21"/>
      <c r="E37" s="13">
        <f>SUM(E3:E36)</f>
        <v>30528800</v>
      </c>
      <c r="F37" s="13">
        <f t="shared" ref="F37:H37" si="3">SUM(F3:F36)</f>
        <v>30528800</v>
      </c>
      <c r="G37" s="13">
        <f t="shared" si="3"/>
        <v>14784800</v>
      </c>
      <c r="H37" s="13">
        <f t="shared" si="3"/>
        <v>14784800</v>
      </c>
    </row>
    <row r="38" spans="2:8" ht="15" thickTop="1" x14ac:dyDescent="0.3">
      <c r="E38" s="84" t="b">
        <f>IF(E37-F37&lt;&gt;0, FALSE,TRUE)</f>
        <v>1</v>
      </c>
      <c r="F38" s="84"/>
      <c r="G38" s="84" t="b">
        <f>IF(G37-H37&lt;&gt;0, FALSE,TRUE)</f>
        <v>1</v>
      </c>
      <c r="H38" s="84"/>
    </row>
  </sheetData>
  <mergeCells count="2">
    <mergeCell ref="E38:F38"/>
    <mergeCell ref="G38:H38"/>
  </mergeCells>
  <conditionalFormatting sqref="E38:H38">
    <cfRule type="cellIs" dxfId="11" priority="1" operator="equal">
      <formula>FALSE</formula>
    </cfRule>
    <cfRule type="cellIs" dxfId="10" priority="2" operator="equal">
      <formula>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9"/>
  <sheetViews>
    <sheetView showGridLines="0" tabSelected="1" zoomScale="120" zoomScaleNormal="120" workbookViewId="0">
      <pane xSplit="2" ySplit="2" topLeftCell="C67" activePane="bottomRight" state="frozen"/>
      <selection pane="topRight" activeCell="D1" sqref="D1"/>
      <selection pane="bottomLeft" activeCell="A3" sqref="A3"/>
      <selection pane="bottomRight" activeCell="B71" sqref="B71"/>
    </sheetView>
  </sheetViews>
  <sheetFormatPr defaultRowHeight="14.4" x14ac:dyDescent="0.3"/>
  <cols>
    <col min="1" max="1" width="3.77734375" style="7" customWidth="1"/>
    <col min="2" max="2" width="51" style="7" bestFit="1" customWidth="1"/>
    <col min="3" max="3" width="13.88671875" style="6" bestFit="1" customWidth="1"/>
    <col min="4" max="4" width="16.5546875" style="6" customWidth="1"/>
    <col min="5" max="5" width="2.44140625" style="7" customWidth="1"/>
    <col min="6" max="7" width="8.88671875" style="7"/>
    <col min="8" max="8" width="2.21875" style="7" customWidth="1"/>
    <col min="9" max="9" width="8.88671875" style="7"/>
    <col min="10" max="10" width="20.109375" style="7" customWidth="1"/>
    <col min="11" max="11" width="1.88671875" style="7" customWidth="1"/>
    <col min="12" max="12" width="17.44140625" style="7" bestFit="1" customWidth="1"/>
    <col min="13" max="16384" width="8.88671875" style="7"/>
  </cols>
  <sheetData>
    <row r="1" spans="1:12" ht="29.4" thickBot="1" x14ac:dyDescent="0.35">
      <c r="A1" s="88" t="s">
        <v>174</v>
      </c>
      <c r="B1" s="88"/>
      <c r="C1" s="86" t="s">
        <v>0</v>
      </c>
      <c r="D1" s="85" t="s">
        <v>1</v>
      </c>
      <c r="F1" s="3" t="s">
        <v>0</v>
      </c>
      <c r="G1" s="4" t="s">
        <v>1</v>
      </c>
      <c r="I1" s="3" t="s">
        <v>0</v>
      </c>
      <c r="J1" s="37" t="s">
        <v>1</v>
      </c>
      <c r="L1" s="4" t="s">
        <v>1</v>
      </c>
    </row>
    <row r="2" spans="1:12" ht="15" thickBot="1" x14ac:dyDescent="0.35">
      <c r="A2" s="88"/>
      <c r="B2" s="88"/>
      <c r="C2" s="86"/>
      <c r="D2" s="85"/>
      <c r="F2" s="33" t="s">
        <v>151</v>
      </c>
      <c r="G2" s="33"/>
      <c r="I2" s="87" t="s">
        <v>152</v>
      </c>
      <c r="J2" s="87"/>
      <c r="L2" s="36" t="s">
        <v>153</v>
      </c>
    </row>
    <row r="3" spans="1:12" ht="21" x14ac:dyDescent="0.3">
      <c r="B3" s="56" t="s">
        <v>74</v>
      </c>
      <c r="C3" s="61"/>
      <c r="D3" s="61"/>
      <c r="F3" s="62"/>
      <c r="G3" s="62"/>
      <c r="I3" s="62"/>
      <c r="J3" s="62"/>
      <c r="L3" s="62"/>
    </row>
    <row r="4" spans="1:12" x14ac:dyDescent="0.3">
      <c r="B4" s="48" t="s">
        <v>17</v>
      </c>
      <c r="C4" s="1"/>
      <c r="D4" s="1"/>
    </row>
    <row r="5" spans="1:12" s="1" customFormat="1" x14ac:dyDescent="0.3">
      <c r="B5" s="2" t="s">
        <v>2</v>
      </c>
      <c r="I5" s="25"/>
      <c r="J5" s="25"/>
    </row>
    <row r="6" spans="1:12" x14ac:dyDescent="0.3">
      <c r="B6" s="7" t="s">
        <v>3</v>
      </c>
      <c r="C6" s="68">
        <f>'Trial Balance Previous Year'!G3</f>
        <v>831200</v>
      </c>
      <c r="D6" s="68">
        <f>'Trial Balance Current year'!G3</f>
        <v>1237200</v>
      </c>
      <c r="F6" s="30">
        <f t="shared" ref="F6:F12" si="0">IFERROR(C6/$C$19,"na")</f>
        <v>0.16527479519605504</v>
      </c>
      <c r="G6" s="30">
        <f t="shared" ref="G6:G12" si="1">IFERROR(D6/$D$19,"na")</f>
        <v>0.153533047082475</v>
      </c>
      <c r="I6" s="34">
        <v>1</v>
      </c>
      <c r="J6" s="29">
        <f>IFERROR(D6/C6,"na")</f>
        <v>1.4884504331087585</v>
      </c>
      <c r="L6" s="46">
        <f>IFERROR((D6-C6)/C6,"na")</f>
        <v>0.48845043310875841</v>
      </c>
    </row>
    <row r="7" spans="1:12" x14ac:dyDescent="0.3">
      <c r="B7" s="7" t="s">
        <v>4</v>
      </c>
      <c r="C7" s="9">
        <f>'Trial Balance Previous Year'!G4</f>
        <v>200000</v>
      </c>
      <c r="D7" s="9">
        <f>'Trial Balance Current year'!G4</f>
        <v>275000</v>
      </c>
      <c r="F7" s="30">
        <f t="shared" si="0"/>
        <v>3.9767756303189371E-2</v>
      </c>
      <c r="G7" s="30">
        <f t="shared" si="1"/>
        <v>3.412672805341143E-2</v>
      </c>
      <c r="I7" s="34">
        <v>1</v>
      </c>
      <c r="J7" s="29">
        <f t="shared" ref="J7:J59" si="2">IFERROR(D7/C7,"na")</f>
        <v>1.375</v>
      </c>
      <c r="L7" s="46">
        <f t="shared" ref="L7:L59" si="3">IFERROR((D7-C7)/C7,"na")</f>
        <v>0.375</v>
      </c>
    </row>
    <row r="8" spans="1:12" x14ac:dyDescent="0.3">
      <c r="B8" s="7" t="s">
        <v>5</v>
      </c>
      <c r="C8" s="9">
        <f>'Trial Balance Previous Year'!G5</f>
        <v>1250000</v>
      </c>
      <c r="D8" s="9">
        <f>'Trial Balance Current year'!G5</f>
        <v>4170000</v>
      </c>
      <c r="F8" s="30">
        <f t="shared" si="0"/>
        <v>0.24854847689493359</v>
      </c>
      <c r="G8" s="30">
        <f t="shared" si="1"/>
        <v>0.5174852944826388</v>
      </c>
      <c r="I8" s="34">
        <v>1</v>
      </c>
      <c r="J8" s="29">
        <f t="shared" si="2"/>
        <v>3.3359999999999999</v>
      </c>
      <c r="L8" s="46">
        <f t="shared" si="3"/>
        <v>2.3359999999999999</v>
      </c>
    </row>
    <row r="9" spans="1:12" x14ac:dyDescent="0.3">
      <c r="B9" s="7" t="s">
        <v>6</v>
      </c>
      <c r="C9" s="9">
        <f>'Trial Balance Previous Year'!G6</f>
        <v>50000</v>
      </c>
      <c r="D9" s="9">
        <f>'Trial Balance Current year'!G6</f>
        <v>20000</v>
      </c>
      <c r="F9" s="30">
        <f t="shared" si="0"/>
        <v>9.9419390757973427E-3</v>
      </c>
      <c r="G9" s="30">
        <f t="shared" si="1"/>
        <v>2.4819438584299221E-3</v>
      </c>
      <c r="I9" s="34">
        <v>1</v>
      </c>
      <c r="J9" s="29">
        <f t="shared" si="2"/>
        <v>0.4</v>
      </c>
      <c r="L9" s="46">
        <f t="shared" si="3"/>
        <v>-0.6</v>
      </c>
    </row>
    <row r="10" spans="1:12" x14ac:dyDescent="0.3">
      <c r="B10" s="7" t="s">
        <v>7</v>
      </c>
      <c r="C10" s="9">
        <f>'Trial Balance Previous Year'!G7</f>
        <v>2000000</v>
      </c>
      <c r="D10" s="9">
        <f>'Trial Balance Current year'!G7</f>
        <v>1790000</v>
      </c>
      <c r="F10" s="30">
        <f t="shared" si="0"/>
        <v>0.39767756303189372</v>
      </c>
      <c r="G10" s="30">
        <f t="shared" si="1"/>
        <v>0.22213397532947804</v>
      </c>
      <c r="I10" s="34">
        <v>1</v>
      </c>
      <c r="J10" s="29">
        <f t="shared" si="2"/>
        <v>0.89500000000000002</v>
      </c>
      <c r="L10" s="46">
        <f t="shared" si="3"/>
        <v>-0.105</v>
      </c>
    </row>
    <row r="11" spans="1:12" ht="15" thickBot="1" x14ac:dyDescent="0.35">
      <c r="B11" s="7" t="s">
        <v>8</v>
      </c>
      <c r="C11" s="63">
        <f>'Trial Balance Previous Year'!G8</f>
        <v>100000</v>
      </c>
      <c r="D11" s="9">
        <f>'Trial Balance Current year'!G8</f>
        <v>30000</v>
      </c>
      <c r="F11" s="30">
        <f t="shared" si="0"/>
        <v>1.9883878151594685E-2</v>
      </c>
      <c r="G11" s="30">
        <f t="shared" si="1"/>
        <v>3.7229157876448836E-3</v>
      </c>
      <c r="I11" s="34">
        <v>1</v>
      </c>
      <c r="J11" s="29">
        <f t="shared" si="2"/>
        <v>0.3</v>
      </c>
      <c r="L11" s="46">
        <f t="shared" si="3"/>
        <v>-0.7</v>
      </c>
    </row>
    <row r="12" spans="1:12" x14ac:dyDescent="0.3">
      <c r="B12" s="8" t="s">
        <v>9</v>
      </c>
      <c r="C12" s="69">
        <f>SUM(C6:C11)</f>
        <v>4431200</v>
      </c>
      <c r="D12" s="70">
        <f>SUM(D6:D11)</f>
        <v>7522200</v>
      </c>
      <c r="F12" s="31">
        <f t="shared" si="0"/>
        <v>0.88109440865346378</v>
      </c>
      <c r="G12" s="31">
        <f t="shared" si="1"/>
        <v>0.93348390459407804</v>
      </c>
      <c r="I12" s="40">
        <v>1</v>
      </c>
      <c r="J12" s="40">
        <f t="shared" si="2"/>
        <v>1.6975537100559668</v>
      </c>
      <c r="L12" s="42">
        <f t="shared" si="3"/>
        <v>0.69755371005596678</v>
      </c>
    </row>
    <row r="13" spans="1:12" x14ac:dyDescent="0.3">
      <c r="B13" s="2" t="s">
        <v>10</v>
      </c>
      <c r="C13" s="64"/>
      <c r="D13" s="64"/>
      <c r="F13" s="30"/>
      <c r="G13" s="30"/>
      <c r="J13" s="35"/>
      <c r="L13" s="46"/>
    </row>
    <row r="14" spans="1:12" x14ac:dyDescent="0.3">
      <c r="B14" s="7" t="s">
        <v>11</v>
      </c>
      <c r="C14" s="68">
        <f>'Trial Balance Previous Year'!G9</f>
        <v>350000</v>
      </c>
      <c r="D14" s="68">
        <f>'Trial Balance Current year'!G9</f>
        <v>350000</v>
      </c>
      <c r="F14" s="30">
        <f t="shared" ref="F14:F19" si="4">IFERROR(C14/$C$19,"na")</f>
        <v>6.9593573530581404E-2</v>
      </c>
      <c r="G14" s="30">
        <f t="shared" ref="G14:G19" si="5">IFERROR(D14/$D$19,"na")</f>
        <v>4.3434017522523641E-2</v>
      </c>
      <c r="I14" s="34">
        <v>1</v>
      </c>
      <c r="J14" s="29">
        <f t="shared" si="2"/>
        <v>1</v>
      </c>
      <c r="L14" s="46">
        <f t="shared" si="3"/>
        <v>0</v>
      </c>
    </row>
    <row r="15" spans="1:12" x14ac:dyDescent="0.3">
      <c r="B15" s="7" t="s">
        <v>13</v>
      </c>
      <c r="C15" s="9">
        <f>'Trial Balance Previous Year'!E10</f>
        <v>310000</v>
      </c>
      <c r="D15" s="9">
        <f>'Trial Balance Current year'!G10</f>
        <v>310000</v>
      </c>
      <c r="F15" s="30">
        <f t="shared" si="4"/>
        <v>6.1640022269943529E-2</v>
      </c>
      <c r="G15" s="30">
        <f t="shared" si="5"/>
        <v>3.8470129805663798E-2</v>
      </c>
      <c r="I15" s="34">
        <v>1</v>
      </c>
      <c r="J15" s="29">
        <f t="shared" si="2"/>
        <v>1</v>
      </c>
      <c r="L15" s="46">
        <f t="shared" si="3"/>
        <v>0</v>
      </c>
    </row>
    <row r="16" spans="1:12" x14ac:dyDescent="0.3">
      <c r="B16" s="7" t="s">
        <v>12</v>
      </c>
      <c r="C16" s="9">
        <f>'Trial Balance Previous Year'!H11</f>
        <v>62000</v>
      </c>
      <c r="D16" s="9">
        <f>'Trial Balance Current year'!H11</f>
        <v>124000</v>
      </c>
      <c r="F16" s="30">
        <f t="shared" si="4"/>
        <v>1.2328004453988706E-2</v>
      </c>
      <c r="G16" s="30">
        <f t="shared" si="5"/>
        <v>1.5388051922265519E-2</v>
      </c>
      <c r="I16" s="34">
        <v>1</v>
      </c>
      <c r="J16" s="29">
        <f t="shared" si="2"/>
        <v>2</v>
      </c>
      <c r="L16" s="46">
        <f t="shared" si="3"/>
        <v>1</v>
      </c>
    </row>
    <row r="17" spans="2:12" ht="15" thickBot="1" x14ac:dyDescent="0.35">
      <c r="B17" s="7" t="s">
        <v>14</v>
      </c>
      <c r="C17" s="9">
        <f>'Trial Balance Previous Year'!G12</f>
        <v>0</v>
      </c>
      <c r="D17" s="9"/>
      <c r="F17" s="30">
        <f t="shared" si="4"/>
        <v>0</v>
      </c>
      <c r="G17" s="30">
        <f t="shared" si="5"/>
        <v>0</v>
      </c>
      <c r="I17" s="34">
        <v>1</v>
      </c>
      <c r="J17" s="35" t="str">
        <f t="shared" si="2"/>
        <v>na</v>
      </c>
      <c r="L17" s="46" t="str">
        <f t="shared" si="3"/>
        <v>na</v>
      </c>
    </row>
    <row r="18" spans="2:12" ht="15" thickBot="1" x14ac:dyDescent="0.35">
      <c r="B18" s="8" t="s">
        <v>15</v>
      </c>
      <c r="C18" s="70">
        <f>C14+C15-C16+C17</f>
        <v>598000</v>
      </c>
      <c r="D18" s="70">
        <f>D14+D15-D16+D17</f>
        <v>536000</v>
      </c>
      <c r="E18" s="28"/>
      <c r="F18" s="31">
        <f t="shared" si="4"/>
        <v>0.11890559134653624</v>
      </c>
      <c r="G18" s="31">
        <f t="shared" si="5"/>
        <v>6.6516095405921918E-2</v>
      </c>
      <c r="I18" s="40">
        <v>1</v>
      </c>
      <c r="J18" s="40">
        <f t="shared" si="2"/>
        <v>0.89632107023411367</v>
      </c>
      <c r="L18" s="42">
        <f t="shared" si="3"/>
        <v>-0.10367892976588629</v>
      </c>
    </row>
    <row r="19" spans="2:12" ht="15" thickBot="1" x14ac:dyDescent="0.35">
      <c r="B19" s="49" t="s">
        <v>16</v>
      </c>
      <c r="C19" s="71">
        <f>C18+C12</f>
        <v>5029200</v>
      </c>
      <c r="D19" s="71">
        <f>D18+D12</f>
        <v>8058200</v>
      </c>
      <c r="F19" s="32">
        <f t="shared" si="4"/>
        <v>1</v>
      </c>
      <c r="G19" s="32">
        <f t="shared" si="5"/>
        <v>1</v>
      </c>
      <c r="I19" s="41">
        <v>1</v>
      </c>
      <c r="J19" s="41">
        <f t="shared" si="2"/>
        <v>1.6022826692118031</v>
      </c>
      <c r="L19" s="51">
        <f t="shared" si="3"/>
        <v>0.60228266921180307</v>
      </c>
    </row>
    <row r="20" spans="2:12" ht="15" thickTop="1" x14ac:dyDescent="0.3">
      <c r="C20" s="64"/>
      <c r="D20" s="64"/>
      <c r="J20" s="35"/>
      <c r="L20" s="52"/>
    </row>
    <row r="21" spans="2:12" x14ac:dyDescent="0.3">
      <c r="B21" s="48" t="s">
        <v>18</v>
      </c>
      <c r="C21" s="64"/>
      <c r="D21" s="64"/>
      <c r="J21" s="35"/>
      <c r="L21" s="52"/>
    </row>
    <row r="22" spans="2:12" x14ac:dyDescent="0.3">
      <c r="B22" s="2" t="s">
        <v>27</v>
      </c>
      <c r="C22" s="64"/>
      <c r="D22" s="64"/>
      <c r="J22" s="35"/>
      <c r="L22" s="52"/>
    </row>
    <row r="23" spans="2:12" x14ac:dyDescent="0.3">
      <c r="B23" s="7" t="s">
        <v>19</v>
      </c>
      <c r="C23" s="68">
        <f>'Trial Balance Previous Year'!H13</f>
        <v>1000000</v>
      </c>
      <c r="D23" s="68">
        <f>'Trial Balance Current year'!H13</f>
        <v>3050000</v>
      </c>
      <c r="F23" s="30">
        <f>IFERROR(C23/$C$43,"na")</f>
        <v>0.19883878151594686</v>
      </c>
      <c r="G23" s="30">
        <f>IFERROR(D23/$D$43,"na")</f>
        <v>0.37849643841056313</v>
      </c>
      <c r="I23" s="34">
        <v>1</v>
      </c>
      <c r="J23" s="35">
        <f t="shared" si="2"/>
        <v>3.05</v>
      </c>
      <c r="L23" s="46">
        <f t="shared" si="3"/>
        <v>2.0499999999999998</v>
      </c>
    </row>
    <row r="24" spans="2:12" x14ac:dyDescent="0.3">
      <c r="B24" s="7" t="s">
        <v>35</v>
      </c>
      <c r="C24" s="9">
        <f>'Trial Balance Previous Year'!H14</f>
        <v>0</v>
      </c>
      <c r="D24" s="9">
        <f>'Trial Balance Current year'!H14</f>
        <v>0</v>
      </c>
      <c r="F24" s="30">
        <f t="shared" ref="F24:F43" si="6">IFERROR(C24/$C$43,"na")</f>
        <v>0</v>
      </c>
      <c r="G24" s="30">
        <f t="shared" ref="G24:G43" si="7">IFERROR(D24/$D$43,"na")</f>
        <v>0</v>
      </c>
      <c r="I24" s="34">
        <v>1</v>
      </c>
      <c r="J24" s="35" t="str">
        <f t="shared" si="2"/>
        <v>na</v>
      </c>
      <c r="L24" s="46" t="str">
        <f t="shared" si="3"/>
        <v>na</v>
      </c>
    </row>
    <row r="25" spans="2:12" x14ac:dyDescent="0.3">
      <c r="B25" s="7" t="s">
        <v>36</v>
      </c>
      <c r="C25" s="9">
        <f>'Trial Balance Previous Year'!H15</f>
        <v>0</v>
      </c>
      <c r="D25" s="9">
        <f>'Trial Balance Current year'!H15</f>
        <v>0</v>
      </c>
      <c r="F25" s="30">
        <f t="shared" si="6"/>
        <v>0</v>
      </c>
      <c r="G25" s="30">
        <f t="shared" si="7"/>
        <v>0</v>
      </c>
      <c r="I25" s="34">
        <v>1</v>
      </c>
      <c r="J25" s="35" t="str">
        <f t="shared" si="2"/>
        <v>na</v>
      </c>
      <c r="L25" s="46" t="str">
        <f t="shared" si="3"/>
        <v>na</v>
      </c>
    </row>
    <row r="26" spans="2:12" x14ac:dyDescent="0.3">
      <c r="B26" s="7" t="s">
        <v>37</v>
      </c>
      <c r="C26" s="9">
        <f>'Trial Balance Previous Year'!H16</f>
        <v>0</v>
      </c>
      <c r="D26" s="9">
        <f>'Trial Balance Current year'!H16</f>
        <v>0</v>
      </c>
      <c r="F26" s="30">
        <f t="shared" si="6"/>
        <v>0</v>
      </c>
      <c r="G26" s="30">
        <f t="shared" si="7"/>
        <v>0</v>
      </c>
      <c r="I26" s="34">
        <v>1</v>
      </c>
      <c r="J26" s="35" t="str">
        <f t="shared" si="2"/>
        <v>na</v>
      </c>
      <c r="L26" s="46" t="str">
        <f t="shared" si="3"/>
        <v>na</v>
      </c>
    </row>
    <row r="27" spans="2:12" x14ac:dyDescent="0.3">
      <c r="B27" s="7" t="s">
        <v>38</v>
      </c>
      <c r="C27" s="9">
        <f>'Trial Balance Previous Year'!H17</f>
        <v>144000</v>
      </c>
      <c r="D27" s="9">
        <f>'Trial Balance Current year'!H17</f>
        <v>144000</v>
      </c>
      <c r="F27" s="30">
        <f t="shared" si="6"/>
        <v>2.863278453829635E-2</v>
      </c>
      <c r="G27" s="30">
        <f t="shared" si="7"/>
        <v>1.7869995780695442E-2</v>
      </c>
      <c r="I27" s="34">
        <v>1</v>
      </c>
      <c r="J27" s="35">
        <f t="shared" si="2"/>
        <v>1</v>
      </c>
      <c r="L27" s="46">
        <f t="shared" si="3"/>
        <v>0</v>
      </c>
    </row>
    <row r="28" spans="2:12" ht="15" thickBot="1" x14ac:dyDescent="0.35">
      <c r="B28" s="7" t="s">
        <v>39</v>
      </c>
      <c r="C28" s="9">
        <f>'Trial Balance Previous Year'!H18</f>
        <v>208800</v>
      </c>
      <c r="D28" s="9">
        <f>'Trial Balance Current year'!H18</f>
        <v>240400</v>
      </c>
      <c r="F28" s="30">
        <f t="shared" si="6"/>
        <v>4.1517537580529708E-2</v>
      </c>
      <c r="G28" s="30">
        <f t="shared" si="7"/>
        <v>2.9832965178327665E-2</v>
      </c>
      <c r="I28" s="34">
        <v>1</v>
      </c>
      <c r="J28" s="35">
        <f t="shared" si="2"/>
        <v>1.1513409961685823</v>
      </c>
      <c r="L28" s="46">
        <f t="shared" si="3"/>
        <v>0.15134099616858238</v>
      </c>
    </row>
    <row r="29" spans="2:12" x14ac:dyDescent="0.3">
      <c r="B29" s="8" t="s">
        <v>41</v>
      </c>
      <c r="C29" s="70">
        <f>SUM(C23:C28)</f>
        <v>1352800</v>
      </c>
      <c r="D29" s="70">
        <f>SUM(D23:D28)</f>
        <v>3434400</v>
      </c>
      <c r="F29" s="31">
        <f t="shared" si="6"/>
        <v>0.26898910363477291</v>
      </c>
      <c r="G29" s="31">
        <f t="shared" si="7"/>
        <v>0.42619939936958628</v>
      </c>
      <c r="I29" s="40">
        <v>1</v>
      </c>
      <c r="J29" s="40">
        <f t="shared" si="2"/>
        <v>2.5387344766410407</v>
      </c>
      <c r="L29" s="42">
        <f t="shared" si="3"/>
        <v>1.5387344766410409</v>
      </c>
    </row>
    <row r="30" spans="2:12" x14ac:dyDescent="0.3">
      <c r="B30" s="2" t="s">
        <v>28</v>
      </c>
      <c r="C30" s="64"/>
      <c r="D30" s="64"/>
      <c r="F30" s="30">
        <f t="shared" si="6"/>
        <v>0</v>
      </c>
      <c r="G30" s="30">
        <f t="shared" si="7"/>
        <v>0</v>
      </c>
      <c r="I30" s="34">
        <v>1</v>
      </c>
      <c r="J30" s="35" t="str">
        <f t="shared" si="2"/>
        <v>na</v>
      </c>
      <c r="L30" s="46" t="str">
        <f t="shared" si="3"/>
        <v>na</v>
      </c>
    </row>
    <row r="31" spans="2:12" x14ac:dyDescent="0.3">
      <c r="B31" s="7" t="s">
        <v>40</v>
      </c>
      <c r="C31" s="68">
        <f>'Trial Balance Previous Year'!H19</f>
        <v>0</v>
      </c>
      <c r="D31" s="68">
        <f>'Trial Balance Current year'!H19</f>
        <v>0</v>
      </c>
      <c r="F31" s="30">
        <f t="shared" si="6"/>
        <v>0</v>
      </c>
      <c r="G31" s="30">
        <f t="shared" si="7"/>
        <v>0</v>
      </c>
      <c r="I31" s="34">
        <v>1</v>
      </c>
      <c r="J31" s="35" t="str">
        <f t="shared" si="2"/>
        <v>na</v>
      </c>
      <c r="L31" s="46" t="str">
        <f t="shared" si="3"/>
        <v>na</v>
      </c>
    </row>
    <row r="32" spans="2:12" x14ac:dyDescent="0.3">
      <c r="B32" s="7" t="s">
        <v>21</v>
      </c>
      <c r="C32" s="9">
        <f>'Trial Balance Previous Year'!H20</f>
        <v>0</v>
      </c>
      <c r="D32" s="9">
        <f>'Trial Balance Current year'!H20</f>
        <v>0</v>
      </c>
      <c r="F32" s="30">
        <f t="shared" si="6"/>
        <v>0</v>
      </c>
      <c r="G32" s="30">
        <f t="shared" si="7"/>
        <v>0</v>
      </c>
      <c r="I32" s="34">
        <v>1</v>
      </c>
      <c r="J32" s="35" t="str">
        <f t="shared" si="2"/>
        <v>na</v>
      </c>
      <c r="L32" s="46" t="str">
        <f t="shared" si="3"/>
        <v>na</v>
      </c>
    </row>
    <row r="33" spans="2:12" x14ac:dyDescent="0.3">
      <c r="B33" s="7" t="s">
        <v>24</v>
      </c>
      <c r="C33" s="9">
        <f>'Trial Balance Previous Year'!H21</f>
        <v>0</v>
      </c>
      <c r="D33" s="9">
        <f>'Trial Balance Current year'!H21</f>
        <v>0</v>
      </c>
      <c r="F33" s="30">
        <f t="shared" si="6"/>
        <v>0</v>
      </c>
      <c r="G33" s="30">
        <f t="shared" si="7"/>
        <v>0</v>
      </c>
      <c r="I33" s="34">
        <v>1</v>
      </c>
      <c r="J33" s="35" t="str">
        <f t="shared" si="2"/>
        <v>na</v>
      </c>
      <c r="L33" s="46" t="str">
        <f t="shared" si="3"/>
        <v>na</v>
      </c>
    </row>
    <row r="34" spans="2:12" ht="15" thickBot="1" x14ac:dyDescent="0.35">
      <c r="B34" s="7" t="s">
        <v>25</v>
      </c>
      <c r="C34" s="9">
        <f>'Trial Balance Previous Year'!H22</f>
        <v>0</v>
      </c>
      <c r="D34" s="9">
        <f>'Trial Balance Current year'!H22</f>
        <v>0</v>
      </c>
      <c r="F34" s="30">
        <f t="shared" si="6"/>
        <v>0</v>
      </c>
      <c r="G34" s="30">
        <f t="shared" si="7"/>
        <v>0</v>
      </c>
      <c r="I34" s="34">
        <v>1</v>
      </c>
      <c r="J34" s="35" t="str">
        <f t="shared" si="2"/>
        <v>na</v>
      </c>
      <c r="L34" s="46" t="str">
        <f t="shared" si="3"/>
        <v>na</v>
      </c>
    </row>
    <row r="35" spans="2:12" ht="15" thickBot="1" x14ac:dyDescent="0.35">
      <c r="B35" s="8" t="s">
        <v>26</v>
      </c>
      <c r="C35" s="70">
        <f>SUM(C31:C34)</f>
        <v>0</v>
      </c>
      <c r="D35" s="70">
        <f>SUM(D31:D34)</f>
        <v>0</v>
      </c>
      <c r="F35" s="31">
        <f t="shared" si="6"/>
        <v>0</v>
      </c>
      <c r="G35" s="31">
        <f t="shared" si="7"/>
        <v>0</v>
      </c>
      <c r="I35" s="40">
        <v>1</v>
      </c>
      <c r="J35" s="42" t="str">
        <f t="shared" si="2"/>
        <v>na</v>
      </c>
      <c r="L35" s="42" t="str">
        <f t="shared" si="3"/>
        <v>na</v>
      </c>
    </row>
    <row r="36" spans="2:12" x14ac:dyDescent="0.3">
      <c r="B36" s="8" t="s">
        <v>42</v>
      </c>
      <c r="C36" s="65">
        <f>C35+C29</f>
        <v>1352800</v>
      </c>
      <c r="D36" s="65">
        <f>D35+D29</f>
        <v>3434400</v>
      </c>
      <c r="F36" s="31">
        <f t="shared" si="6"/>
        <v>0.26898910363477291</v>
      </c>
      <c r="G36" s="31">
        <f t="shared" si="7"/>
        <v>0.42619939936958628</v>
      </c>
      <c r="I36" s="40">
        <v>1</v>
      </c>
      <c r="J36" s="40">
        <f t="shared" si="2"/>
        <v>2.5387344766410407</v>
      </c>
      <c r="L36" s="42">
        <f t="shared" si="3"/>
        <v>1.5387344766410409</v>
      </c>
    </row>
    <row r="37" spans="2:12" x14ac:dyDescent="0.3">
      <c r="B37" s="2" t="s">
        <v>43</v>
      </c>
      <c r="C37" s="64"/>
      <c r="D37" s="64"/>
      <c r="F37" s="30">
        <f t="shared" si="6"/>
        <v>0</v>
      </c>
      <c r="G37" s="30">
        <f t="shared" si="7"/>
        <v>0</v>
      </c>
      <c r="I37" s="34">
        <v>1</v>
      </c>
      <c r="J37" s="35" t="str">
        <f t="shared" si="2"/>
        <v>na</v>
      </c>
      <c r="L37" s="46" t="str">
        <f t="shared" si="3"/>
        <v>na</v>
      </c>
    </row>
    <row r="38" spans="2:12" x14ac:dyDescent="0.3">
      <c r="B38" s="7" t="s">
        <v>50</v>
      </c>
      <c r="C38" s="68">
        <f>'Trial Balance Previous Year'!H23</f>
        <v>3000000</v>
      </c>
      <c r="D38" s="68">
        <f>'Trial Balance Current year'!H23</f>
        <v>3000000</v>
      </c>
      <c r="F38" s="30">
        <f t="shared" si="6"/>
        <v>0.59651634454784064</v>
      </c>
      <c r="G38" s="30">
        <f t="shared" si="7"/>
        <v>0.37229157876448837</v>
      </c>
      <c r="I38" s="34">
        <v>1</v>
      </c>
      <c r="J38" s="35">
        <f t="shared" si="2"/>
        <v>1</v>
      </c>
      <c r="L38" s="46">
        <f t="shared" si="3"/>
        <v>0</v>
      </c>
    </row>
    <row r="39" spans="2:12" x14ac:dyDescent="0.3">
      <c r="B39" s="7" t="s">
        <v>51</v>
      </c>
      <c r="C39" s="9">
        <f>'Trial Balance Previous Year'!H24</f>
        <v>50000</v>
      </c>
      <c r="D39" s="9">
        <f>'Trial Balance Current year'!H24</f>
        <v>50000</v>
      </c>
      <c r="F39" s="30">
        <f t="shared" si="6"/>
        <v>9.9419390757973427E-3</v>
      </c>
      <c r="G39" s="30">
        <f t="shared" si="7"/>
        <v>6.2048596460748057E-3</v>
      </c>
      <c r="I39" s="34">
        <v>1</v>
      </c>
      <c r="J39" s="35">
        <f t="shared" si="2"/>
        <v>1</v>
      </c>
      <c r="L39" s="46">
        <f t="shared" si="3"/>
        <v>0</v>
      </c>
    </row>
    <row r="40" spans="2:12" x14ac:dyDescent="0.3">
      <c r="B40" s="7" t="s">
        <v>52</v>
      </c>
      <c r="C40" s="9">
        <f>'Trial Balance Previous Year'!H25</f>
        <v>0</v>
      </c>
      <c r="D40" s="9">
        <f>'Trial Balance Current year'!H25</f>
        <v>0</v>
      </c>
      <c r="F40" s="39">
        <f t="shared" si="6"/>
        <v>0</v>
      </c>
      <c r="G40" s="39">
        <f t="shared" si="7"/>
        <v>0</v>
      </c>
      <c r="I40" s="34">
        <v>1</v>
      </c>
      <c r="J40" s="35" t="str">
        <f t="shared" si="2"/>
        <v>na</v>
      </c>
      <c r="L40" s="53" t="str">
        <f t="shared" si="3"/>
        <v>na</v>
      </c>
    </row>
    <row r="41" spans="2:12" ht="15" thickBot="1" x14ac:dyDescent="0.35">
      <c r="B41" s="7" t="s">
        <v>53</v>
      </c>
      <c r="C41" s="68">
        <f>C59</f>
        <v>626400</v>
      </c>
      <c r="D41" s="68">
        <f>C59+D59</f>
        <v>1573800</v>
      </c>
      <c r="E41" s="28"/>
      <c r="F41" s="38">
        <f t="shared" si="6"/>
        <v>0.12455261274158912</v>
      </c>
      <c r="G41" s="38">
        <f t="shared" si="7"/>
        <v>0.19530416221985059</v>
      </c>
      <c r="I41" s="43">
        <v>1</v>
      </c>
      <c r="J41" s="44">
        <f>IFERROR(D41/C41,"na")</f>
        <v>2.5124521072796937</v>
      </c>
      <c r="L41" s="54">
        <f t="shared" si="3"/>
        <v>1.5124521072796935</v>
      </c>
    </row>
    <row r="42" spans="2:12" ht="15" thickBot="1" x14ac:dyDescent="0.35">
      <c r="B42" s="8" t="s">
        <v>48</v>
      </c>
      <c r="C42" s="70">
        <f>SUM(C38:C41)</f>
        <v>3676400</v>
      </c>
      <c r="D42" s="70">
        <f>SUM(D38:D41)</f>
        <v>4623800</v>
      </c>
      <c r="F42" s="31">
        <f t="shared" si="6"/>
        <v>0.73101089636522709</v>
      </c>
      <c r="G42" s="31">
        <f t="shared" si="7"/>
        <v>0.57380060063041372</v>
      </c>
      <c r="I42" s="40">
        <v>1</v>
      </c>
      <c r="J42" s="40">
        <f t="shared" si="2"/>
        <v>1.2576977477967577</v>
      </c>
      <c r="L42" s="42">
        <f t="shared" si="3"/>
        <v>0.25769774779675769</v>
      </c>
    </row>
    <row r="43" spans="2:12" ht="15" thickBot="1" x14ac:dyDescent="0.35">
      <c r="B43" s="49" t="s">
        <v>49</v>
      </c>
      <c r="C43" s="71">
        <f>C42+C36</f>
        <v>5029200</v>
      </c>
      <c r="D43" s="71">
        <f>D42+D36</f>
        <v>8058200</v>
      </c>
      <c r="F43" s="32">
        <f t="shared" si="6"/>
        <v>1</v>
      </c>
      <c r="G43" s="32">
        <f t="shared" si="7"/>
        <v>1</v>
      </c>
      <c r="I43" s="41">
        <v>1</v>
      </c>
      <c r="J43" s="41">
        <f t="shared" si="2"/>
        <v>1.6022826692118031</v>
      </c>
      <c r="L43" s="51">
        <f t="shared" si="3"/>
        <v>0.60228266921180307</v>
      </c>
    </row>
    <row r="44" spans="2:12" s="23" customFormat="1" ht="15" thickTop="1" x14ac:dyDescent="0.3">
      <c r="C44" s="66" t="b">
        <f>IF(C43-C19&lt;&gt;0,FALSE,TRUE)</f>
        <v>1</v>
      </c>
      <c r="D44" s="66" t="b">
        <f>IF(D43-D19&lt;&gt;0,FALSE,TRUE)</f>
        <v>1</v>
      </c>
      <c r="E44" s="27"/>
      <c r="I44" s="34"/>
      <c r="J44" s="35"/>
      <c r="L44" s="55"/>
    </row>
    <row r="45" spans="2:12" ht="21" x14ac:dyDescent="0.3">
      <c r="B45" s="56" t="s">
        <v>75</v>
      </c>
      <c r="C45" s="67"/>
      <c r="D45" s="67"/>
      <c r="F45" s="62"/>
      <c r="G45" s="62"/>
      <c r="I45" s="62"/>
      <c r="J45" s="62"/>
      <c r="L45" s="62"/>
    </row>
    <row r="46" spans="2:12" x14ac:dyDescent="0.3">
      <c r="B46" s="7" t="s">
        <v>76</v>
      </c>
      <c r="C46" s="72">
        <f>'Trial Balance Previous Year'!H27</f>
        <v>5000000</v>
      </c>
      <c r="D46" s="72">
        <f>'Trial Balance Current year'!H27</f>
        <v>6800000</v>
      </c>
      <c r="E46" s="28"/>
      <c r="F46" s="30">
        <f>IFERROR(C46/$C$46,"na")</f>
        <v>1</v>
      </c>
      <c r="G46" s="30">
        <f>IFERROR(D46/$D$46,"na")</f>
        <v>1</v>
      </c>
      <c r="I46" s="45">
        <v>1</v>
      </c>
      <c r="J46" s="45">
        <f t="shared" si="2"/>
        <v>1.36</v>
      </c>
      <c r="L46" s="46">
        <f t="shared" si="3"/>
        <v>0.36</v>
      </c>
    </row>
    <row r="47" spans="2:12" ht="15" thickBot="1" x14ac:dyDescent="0.35">
      <c r="B47" s="7" t="s">
        <v>77</v>
      </c>
      <c r="C47" s="5">
        <f>'Trial Balance Previous Year'!G28</f>
        <v>3500000</v>
      </c>
      <c r="D47" s="5">
        <f>'Trial Balance Current year'!G28</f>
        <v>4760000</v>
      </c>
      <c r="E47" s="28"/>
      <c r="F47" s="30">
        <f t="shared" ref="F47:F59" si="8">IFERROR(C47/$C$46,"na")</f>
        <v>0.7</v>
      </c>
      <c r="G47" s="30">
        <f t="shared" ref="G47:G59" si="9">IFERROR(D47/$D$46,"na")</f>
        <v>0.7</v>
      </c>
      <c r="I47" s="45">
        <v>1</v>
      </c>
      <c r="J47" s="45">
        <f t="shared" si="2"/>
        <v>1.36</v>
      </c>
      <c r="L47" s="46">
        <f t="shared" si="3"/>
        <v>0.36</v>
      </c>
    </row>
    <row r="48" spans="2:12" ht="15" thickBot="1" x14ac:dyDescent="0.35">
      <c r="B48" s="7" t="s">
        <v>78</v>
      </c>
      <c r="C48" s="73">
        <f>C46-C47</f>
        <v>1500000</v>
      </c>
      <c r="D48" s="73">
        <f>D46-D47</f>
        <v>2040000</v>
      </c>
      <c r="E48" s="28"/>
      <c r="F48" s="32">
        <f t="shared" si="8"/>
        <v>0.3</v>
      </c>
      <c r="G48" s="32">
        <f t="shared" si="9"/>
        <v>0.3</v>
      </c>
      <c r="I48" s="41">
        <v>1</v>
      </c>
      <c r="J48" s="41">
        <f t="shared" si="2"/>
        <v>1.36</v>
      </c>
      <c r="L48" s="51">
        <f t="shared" si="3"/>
        <v>0.36</v>
      </c>
    </row>
    <row r="49" spans="2:12" ht="15" thickTop="1" x14ac:dyDescent="0.3">
      <c r="B49" s="7" t="s">
        <v>79</v>
      </c>
      <c r="C49" s="5">
        <f>'Trial Balance Previous Year'!G29</f>
        <v>144000</v>
      </c>
      <c r="D49" s="5">
        <f>'Trial Balance Current year'!G29</f>
        <v>144000</v>
      </c>
      <c r="F49" s="30">
        <f t="shared" si="8"/>
        <v>2.8799999999999999E-2</v>
      </c>
      <c r="G49" s="30">
        <f t="shared" si="9"/>
        <v>2.1176470588235293E-2</v>
      </c>
      <c r="I49" s="45">
        <v>1</v>
      </c>
      <c r="J49" s="45">
        <f t="shared" si="2"/>
        <v>1</v>
      </c>
      <c r="L49" s="46">
        <f t="shared" si="3"/>
        <v>0</v>
      </c>
    </row>
    <row r="50" spans="2:12" ht="15" thickBot="1" x14ac:dyDescent="0.35">
      <c r="B50" s="7" t="s">
        <v>81</v>
      </c>
      <c r="C50" s="5">
        <f>'Trial Balance Previous Year'!G30</f>
        <v>250000</v>
      </c>
      <c r="D50" s="5">
        <f>'Trial Balance Current year'!G30</f>
        <v>5000</v>
      </c>
      <c r="F50" s="30">
        <f t="shared" si="8"/>
        <v>0.05</v>
      </c>
      <c r="G50" s="30">
        <f t="shared" si="9"/>
        <v>7.3529411764705881E-4</v>
      </c>
      <c r="I50" s="45">
        <v>1</v>
      </c>
      <c r="J50" s="45">
        <f t="shared" si="2"/>
        <v>0.02</v>
      </c>
      <c r="L50" s="46">
        <f>IFERROR((D50-C50)/C50,"na")</f>
        <v>-0.98</v>
      </c>
    </row>
    <row r="51" spans="2:12" ht="29.4" thickBot="1" x14ac:dyDescent="0.35">
      <c r="B51" s="24" t="s">
        <v>148</v>
      </c>
      <c r="C51" s="73">
        <f>C48-C49-C50</f>
        <v>1106000</v>
      </c>
      <c r="D51" s="73">
        <f>D48-D49-D50</f>
        <v>1891000</v>
      </c>
      <c r="F51" s="32">
        <f t="shared" si="8"/>
        <v>0.22120000000000001</v>
      </c>
      <c r="G51" s="32">
        <f t="shared" si="9"/>
        <v>0.27808823529411764</v>
      </c>
      <c r="I51" s="41">
        <v>1</v>
      </c>
      <c r="J51" s="41">
        <f t="shared" si="2"/>
        <v>1.709764918625678</v>
      </c>
      <c r="L51" s="51">
        <f t="shared" si="3"/>
        <v>0.70976491862567814</v>
      </c>
    </row>
    <row r="52" spans="2:12" ht="15.6" thickTop="1" thickBot="1" x14ac:dyDescent="0.35">
      <c r="B52" s="25" t="s">
        <v>82</v>
      </c>
      <c r="C52" s="5">
        <f>'Trial Balance Previous Year'!G31</f>
        <v>62000</v>
      </c>
      <c r="D52" s="5">
        <f>'Trial Balance Current year'!G31</f>
        <v>62000</v>
      </c>
      <c r="F52" s="30">
        <f t="shared" si="8"/>
        <v>1.24E-2</v>
      </c>
      <c r="G52" s="30">
        <f t="shared" si="9"/>
        <v>9.1176470588235289E-3</v>
      </c>
      <c r="I52" s="45">
        <v>1</v>
      </c>
      <c r="J52" s="45">
        <f t="shared" si="2"/>
        <v>1</v>
      </c>
      <c r="L52" s="46">
        <f t="shared" si="3"/>
        <v>0</v>
      </c>
    </row>
    <row r="53" spans="2:12" ht="15" thickBot="1" x14ac:dyDescent="0.35">
      <c r="B53" s="24" t="s">
        <v>149</v>
      </c>
      <c r="C53" s="73">
        <f>C51-C52</f>
        <v>1044000</v>
      </c>
      <c r="D53" s="73">
        <f>D51-D52</f>
        <v>1829000</v>
      </c>
      <c r="F53" s="32">
        <f t="shared" si="8"/>
        <v>0.20880000000000001</v>
      </c>
      <c r="G53" s="32">
        <f t="shared" si="9"/>
        <v>0.26897058823529413</v>
      </c>
      <c r="I53" s="41">
        <v>1</v>
      </c>
      <c r="J53" s="41">
        <f t="shared" si="2"/>
        <v>1.7519157088122606</v>
      </c>
      <c r="L53" s="51">
        <f t="shared" si="3"/>
        <v>0.75191570881226055</v>
      </c>
    </row>
    <row r="54" spans="2:12" ht="15" thickTop="1" x14ac:dyDescent="0.3">
      <c r="B54" s="7" t="s">
        <v>83</v>
      </c>
      <c r="C54" s="5">
        <f>'Trial Balance Previous Year'!H32</f>
        <v>0</v>
      </c>
      <c r="D54" s="5">
        <f>'Trial Balance Current year'!H32</f>
        <v>250000</v>
      </c>
      <c r="F54" s="30">
        <f t="shared" si="8"/>
        <v>0</v>
      </c>
      <c r="G54" s="30">
        <f t="shared" si="9"/>
        <v>3.6764705882352942E-2</v>
      </c>
      <c r="I54" s="45">
        <v>1</v>
      </c>
      <c r="J54" s="46" t="str">
        <f t="shared" si="2"/>
        <v>na</v>
      </c>
      <c r="L54" s="46" t="str">
        <f t="shared" si="3"/>
        <v>na</v>
      </c>
    </row>
    <row r="55" spans="2:12" x14ac:dyDescent="0.3">
      <c r="B55" s="7" t="s">
        <v>80</v>
      </c>
      <c r="C55" s="5">
        <f>'Trial Balance Previous Year'!G33</f>
        <v>0</v>
      </c>
      <c r="D55" s="5">
        <f>'Trial Balance Current year'!G33</f>
        <v>1000000</v>
      </c>
      <c r="F55" s="30">
        <f t="shared" si="8"/>
        <v>0</v>
      </c>
      <c r="G55" s="30">
        <f t="shared" si="9"/>
        <v>0.14705882352941177</v>
      </c>
      <c r="I55" s="45">
        <v>1</v>
      </c>
      <c r="J55" s="46" t="str">
        <f t="shared" si="2"/>
        <v>na</v>
      </c>
      <c r="L55" s="46" t="str">
        <f t="shared" si="3"/>
        <v>na</v>
      </c>
    </row>
    <row r="56" spans="2:12" ht="15" thickBot="1" x14ac:dyDescent="0.35">
      <c r="B56" s="7" t="s">
        <v>84</v>
      </c>
      <c r="C56" s="5">
        <f>'Trial Balance Previous Year'!H34-'Trial Balance Previous Year'!G35</f>
        <v>0</v>
      </c>
      <c r="D56" s="5">
        <f>'Trial Balance Current year'!H34-'Trial Balance Current year'!G35</f>
        <v>500000</v>
      </c>
      <c r="E56" s="28"/>
      <c r="F56" s="30">
        <f t="shared" si="8"/>
        <v>0</v>
      </c>
      <c r="G56" s="30">
        <f t="shared" si="9"/>
        <v>7.3529411764705885E-2</v>
      </c>
      <c r="I56" s="45">
        <v>1</v>
      </c>
      <c r="J56" s="46" t="str">
        <f t="shared" si="2"/>
        <v>na</v>
      </c>
      <c r="L56" s="46" t="str">
        <f t="shared" si="3"/>
        <v>na</v>
      </c>
    </row>
    <row r="57" spans="2:12" ht="15" thickBot="1" x14ac:dyDescent="0.35">
      <c r="B57" s="8" t="s">
        <v>85</v>
      </c>
      <c r="C57" s="73">
        <f>C53+C54-C55+C56</f>
        <v>1044000</v>
      </c>
      <c r="D57" s="73">
        <f>D53+D54-D55+D56</f>
        <v>1579000</v>
      </c>
      <c r="F57" s="32">
        <f t="shared" si="8"/>
        <v>0.20880000000000001</v>
      </c>
      <c r="G57" s="32">
        <f t="shared" si="9"/>
        <v>0.23220588235294118</v>
      </c>
      <c r="I57" s="41">
        <v>1</v>
      </c>
      <c r="J57" s="41">
        <f>IFERROR(D57/C57,"na")</f>
        <v>1.5124521072796935</v>
      </c>
      <c r="L57" s="51">
        <f t="shared" si="3"/>
        <v>0.51245210727969348</v>
      </c>
    </row>
    <row r="58" spans="2:12" ht="15.6" thickTop="1" thickBot="1" x14ac:dyDescent="0.35">
      <c r="B58" s="7" t="s">
        <v>146</v>
      </c>
      <c r="C58" s="5">
        <f>C57*0.4</f>
        <v>417600</v>
      </c>
      <c r="D58" s="5">
        <f>D57*0.4</f>
        <v>631600</v>
      </c>
      <c r="F58" s="30">
        <f t="shared" si="8"/>
        <v>8.3519999999999997E-2</v>
      </c>
      <c r="G58" s="30">
        <f t="shared" si="9"/>
        <v>9.2882352941176471E-2</v>
      </c>
      <c r="I58" s="45">
        <v>1</v>
      </c>
      <c r="J58" s="45">
        <f>IFERROR(D58/C58,"na")</f>
        <v>1.5124521072796935</v>
      </c>
      <c r="L58" s="46">
        <f t="shared" si="3"/>
        <v>0.51245210727969348</v>
      </c>
    </row>
    <row r="59" spans="2:12" ht="15" thickBot="1" x14ac:dyDescent="0.35">
      <c r="B59" s="8" t="s">
        <v>87</v>
      </c>
      <c r="C59" s="74">
        <f>C57-C58</f>
        <v>626400</v>
      </c>
      <c r="D59" s="74">
        <f>D57-D58</f>
        <v>947400</v>
      </c>
      <c r="F59" s="32">
        <f t="shared" si="8"/>
        <v>0.12528</v>
      </c>
      <c r="G59" s="32">
        <f t="shared" si="9"/>
        <v>0.13932352941176471</v>
      </c>
      <c r="I59" s="41">
        <v>1</v>
      </c>
      <c r="J59" s="41">
        <f t="shared" si="2"/>
        <v>1.5124521072796935</v>
      </c>
      <c r="L59" s="51">
        <f t="shared" si="3"/>
        <v>0.51245210727969348</v>
      </c>
    </row>
    <row r="60" spans="2:12" ht="15" thickTop="1" x14ac:dyDescent="0.3">
      <c r="L60" s="34"/>
    </row>
    <row r="61" spans="2:12" ht="21" x14ac:dyDescent="0.3">
      <c r="B61" s="56" t="s">
        <v>154</v>
      </c>
      <c r="C61" s="57"/>
      <c r="D61" s="58"/>
      <c r="E61" s="59"/>
      <c r="F61" s="59"/>
      <c r="G61" s="59"/>
      <c r="H61" s="59"/>
      <c r="I61" s="59"/>
      <c r="J61" s="59"/>
      <c r="K61" s="59"/>
      <c r="L61" s="60"/>
    </row>
    <row r="62" spans="2:12" x14ac:dyDescent="0.3">
      <c r="B62" s="78" t="s">
        <v>156</v>
      </c>
      <c r="D62" s="47"/>
      <c r="L62" s="34"/>
    </row>
    <row r="63" spans="2:12" ht="15" thickBot="1" x14ac:dyDescent="0.35">
      <c r="L63" s="34"/>
    </row>
    <row r="64" spans="2:12" ht="15" thickBot="1" x14ac:dyDescent="0.35">
      <c r="B64" s="50" t="s">
        <v>155</v>
      </c>
      <c r="C64" s="75">
        <f>C12-C29</f>
        <v>3078400</v>
      </c>
      <c r="D64" s="75">
        <f>D12-D29</f>
        <v>4087800</v>
      </c>
      <c r="I64" s="76">
        <v>1</v>
      </c>
      <c r="J64" s="76">
        <f t="shared" ref="J64" si="10">IFERROR(D64/C64,"na")</f>
        <v>1.3278976091476091</v>
      </c>
      <c r="L64" s="77">
        <f t="shared" ref="L64" si="11">IFERROR((D64-C64)/C64,"na")</f>
        <v>0.32789760914760913</v>
      </c>
    </row>
    <row r="65" spans="2:12" ht="15.6" thickTop="1" thickBot="1" x14ac:dyDescent="0.35"/>
    <row r="66" spans="2:12" ht="21" thickBot="1" x14ac:dyDescent="0.35">
      <c r="B66" s="79" t="s">
        <v>157</v>
      </c>
      <c r="C66" s="81">
        <f>C12/C29</f>
        <v>3.2755765819041986</v>
      </c>
      <c r="D66" s="81">
        <f>D12/D29</f>
        <v>2.1902515723270439</v>
      </c>
      <c r="I66" s="76">
        <v>1</v>
      </c>
      <c r="J66" s="77">
        <f t="shared" ref="J66" si="12">IFERROR(D66/C66,"na")</f>
        <v>0.66866138451074764</v>
      </c>
      <c r="L66" s="77">
        <f t="shared" ref="L66" si="13">IFERROR((D66-C66)/C66,"na")</f>
        <v>-0.33133861548925231</v>
      </c>
    </row>
    <row r="67" spans="2:12" ht="15.6" thickTop="1" thickBot="1" x14ac:dyDescent="0.35">
      <c r="C67" s="82"/>
      <c r="D67" s="82"/>
      <c r="J67" s="34"/>
    </row>
    <row r="68" spans="2:12" ht="21" thickBot="1" x14ac:dyDescent="0.35">
      <c r="B68" s="79" t="s">
        <v>159</v>
      </c>
      <c r="C68" s="83">
        <f>(C6+C7+C8+C9)/C29</f>
        <v>1.7232406859846245</v>
      </c>
      <c r="D68" s="83">
        <f>(D6+D7+D8+D9)/D29</f>
        <v>1.6603191241556021</v>
      </c>
      <c r="I68" s="76">
        <v>1</v>
      </c>
      <c r="J68" s="77">
        <f t="shared" ref="J68" si="14">IFERROR(D68/C68,"na")</f>
        <v>0.96348649243209439</v>
      </c>
      <c r="L68" s="77">
        <f t="shared" ref="L68" si="15">IFERROR((D68-C68)/C68,"na")</f>
        <v>-3.6513507567905598E-2</v>
      </c>
    </row>
    <row r="69" spans="2:12" ht="21" thickTop="1" x14ac:dyDescent="0.3">
      <c r="B69" s="80" t="s">
        <v>158</v>
      </c>
      <c r="C69" s="82"/>
      <c r="D69" s="82"/>
    </row>
    <row r="70" spans="2:12" ht="15" thickBot="1" x14ac:dyDescent="0.35">
      <c r="C70" s="82"/>
      <c r="D70" s="82"/>
    </row>
    <row r="71" spans="2:12" ht="21" thickBot="1" x14ac:dyDescent="0.35">
      <c r="B71" s="79" t="s">
        <v>160</v>
      </c>
      <c r="C71" s="83">
        <f>(C6+C7)/C29</f>
        <v>0.76227084565345948</v>
      </c>
      <c r="D71" s="83">
        <f>(D6+D7)/D29</f>
        <v>0.44030980666200792</v>
      </c>
      <c r="I71" s="76">
        <v>1</v>
      </c>
      <c r="J71" s="77">
        <f t="shared" ref="J71" si="16">IFERROR(D71/C71,"na")</f>
        <v>0.57762907918188933</v>
      </c>
      <c r="L71" s="77">
        <f t="shared" ref="L71" si="17">IFERROR((D71-C71)/C71,"na")</f>
        <v>-0.42237092081811062</v>
      </c>
    </row>
    <row r="72" spans="2:12" ht="15" thickTop="1" x14ac:dyDescent="0.3">
      <c r="B72" s="23" t="s">
        <v>161</v>
      </c>
      <c r="C72" s="82"/>
      <c r="D72" s="82"/>
    </row>
    <row r="73" spans="2:12" ht="15" thickBot="1" x14ac:dyDescent="0.35">
      <c r="C73" s="82"/>
      <c r="D73" s="82"/>
    </row>
    <row r="74" spans="2:12" ht="21" thickBot="1" x14ac:dyDescent="0.35">
      <c r="B74" s="79" t="s">
        <v>162</v>
      </c>
      <c r="C74" s="83"/>
      <c r="D74" s="83"/>
      <c r="I74" s="76"/>
      <c r="J74" s="77" t="str">
        <f t="shared" ref="J74" si="18">IFERROR(D74/C74,"na")</f>
        <v>na</v>
      </c>
      <c r="L74" s="77" t="str">
        <f t="shared" ref="L74" si="19">IFERROR((D74-C74)/C74,"na")</f>
        <v>na</v>
      </c>
    </row>
    <row r="75" spans="2:12" ht="15.6" thickTop="1" thickBot="1" x14ac:dyDescent="0.35">
      <c r="C75" s="82"/>
      <c r="D75" s="82"/>
    </row>
    <row r="76" spans="2:12" ht="21" thickBot="1" x14ac:dyDescent="0.35">
      <c r="B76" s="79" t="s">
        <v>163</v>
      </c>
      <c r="C76" s="83">
        <f>(C12-C29)/C19</f>
        <v>0.61210530501869087</v>
      </c>
      <c r="D76" s="83">
        <f>(D12-D29)/D19</f>
        <v>0.50728450522449187</v>
      </c>
      <c r="I76" s="76">
        <v>1</v>
      </c>
      <c r="J76" s="77">
        <f t="shared" ref="J76" si="20">IFERROR(D76/C76,"na")</f>
        <v>0.82875364919276717</v>
      </c>
      <c r="L76" s="77">
        <f t="shared" ref="L76" si="21">IFERROR((D76-C76)/C76,"na")</f>
        <v>-0.17124635080723286</v>
      </c>
    </row>
    <row r="77" spans="2:12" ht="15" thickTop="1" x14ac:dyDescent="0.3">
      <c r="B77" s="23" t="s">
        <v>164</v>
      </c>
      <c r="C77" s="82"/>
      <c r="D77" s="82"/>
    </row>
    <row r="78" spans="2:12" x14ac:dyDescent="0.3">
      <c r="C78" s="82"/>
      <c r="D78" s="82"/>
    </row>
    <row r="79" spans="2:12" ht="21" x14ac:dyDescent="0.3">
      <c r="B79" s="56" t="s">
        <v>165</v>
      </c>
      <c r="C79" s="82"/>
      <c r="D79" s="82"/>
    </row>
    <row r="80" spans="2:12" x14ac:dyDescent="0.3">
      <c r="B80" s="78" t="s">
        <v>166</v>
      </c>
      <c r="C80" s="82"/>
      <c r="D80" s="82"/>
    </row>
    <row r="81" spans="2:12" x14ac:dyDescent="0.3">
      <c r="C81" s="82"/>
      <c r="D81" s="82"/>
    </row>
    <row r="82" spans="2:12" x14ac:dyDescent="0.3">
      <c r="B82" s="8" t="s">
        <v>167</v>
      </c>
      <c r="C82" s="82"/>
      <c r="D82" s="82"/>
    </row>
    <row r="83" spans="2:12" ht="15" thickBot="1" x14ac:dyDescent="0.35">
      <c r="C83" s="82"/>
      <c r="D83" s="82"/>
    </row>
    <row r="84" spans="2:12" ht="21" thickBot="1" x14ac:dyDescent="0.35">
      <c r="B84" s="79" t="s">
        <v>168</v>
      </c>
      <c r="C84" s="83">
        <f>C36/C43</f>
        <v>0.26898910363477291</v>
      </c>
      <c r="D84" s="83">
        <f>D36/D43</f>
        <v>0.42619939936958628</v>
      </c>
      <c r="I84" s="76">
        <v>1</v>
      </c>
      <c r="J84" s="77">
        <f t="shared" ref="J84" si="22">IFERROR(D84/C84,"na")</f>
        <v>1.5844485654269098</v>
      </c>
      <c r="L84" s="77">
        <f t="shared" ref="L84" si="23">IFERROR((D84-C84)/C84,"na")</f>
        <v>0.58444856542690971</v>
      </c>
    </row>
    <row r="85" spans="2:12" ht="15" thickTop="1" x14ac:dyDescent="0.3">
      <c r="C85" s="82"/>
      <c r="D85" s="82"/>
    </row>
    <row r="86" spans="2:12" ht="15" thickBot="1" x14ac:dyDescent="0.35">
      <c r="C86" s="82"/>
      <c r="D86" s="82"/>
    </row>
    <row r="87" spans="2:12" ht="21" thickBot="1" x14ac:dyDescent="0.35">
      <c r="B87" s="79" t="s">
        <v>169</v>
      </c>
      <c r="C87" s="83">
        <f>C36/C42</f>
        <v>0.36796866499836794</v>
      </c>
      <c r="D87" s="83">
        <f>D36/D42</f>
        <v>0.74276569055755004</v>
      </c>
      <c r="I87" s="76">
        <v>1</v>
      </c>
      <c r="J87" s="77">
        <f t="shared" ref="J87" si="24">IFERROR(D87/C87,"na")</f>
        <v>2.0185569077215977</v>
      </c>
      <c r="L87" s="77">
        <f t="shared" ref="L87" si="25">IFERROR((D87-C87)/C87,"na")</f>
        <v>1.0185569077215975</v>
      </c>
    </row>
    <row r="88" spans="2:12" ht="15" thickTop="1" x14ac:dyDescent="0.3">
      <c r="C88" s="82"/>
      <c r="D88" s="82"/>
    </row>
    <row r="89" spans="2:12" ht="15" thickBot="1" x14ac:dyDescent="0.35">
      <c r="C89" s="82"/>
      <c r="D89" s="82"/>
    </row>
    <row r="90" spans="2:12" ht="21" thickBot="1" x14ac:dyDescent="0.35">
      <c r="B90" s="79" t="s">
        <v>170</v>
      </c>
      <c r="C90" s="83">
        <f>C35/C42</f>
        <v>0</v>
      </c>
      <c r="D90" s="83">
        <f>D35/D42</f>
        <v>0</v>
      </c>
      <c r="I90" s="76">
        <v>1</v>
      </c>
      <c r="J90" s="77" t="str">
        <f t="shared" ref="J90" si="26">IFERROR(D90/C90,"na")</f>
        <v>na</v>
      </c>
      <c r="L90" s="77" t="str">
        <f t="shared" ref="L90" si="27">IFERROR((D90-C90)/C90,"na")</f>
        <v>na</v>
      </c>
    </row>
    <row r="91" spans="2:12" ht="15" thickTop="1" x14ac:dyDescent="0.3">
      <c r="C91" s="82"/>
      <c r="D91" s="82"/>
    </row>
    <row r="92" spans="2:12" ht="15" thickBot="1" x14ac:dyDescent="0.35">
      <c r="C92" s="82"/>
      <c r="D92" s="82"/>
    </row>
    <row r="93" spans="2:12" ht="21" thickBot="1" x14ac:dyDescent="0.35">
      <c r="B93" s="79" t="s">
        <v>171</v>
      </c>
      <c r="C93" s="83">
        <f>C36/C19</f>
        <v>0.26898910363477291</v>
      </c>
      <c r="D93" s="83">
        <f>D36/D19</f>
        <v>0.42619939936958628</v>
      </c>
      <c r="I93" s="76">
        <v>1</v>
      </c>
      <c r="J93" s="77">
        <f>IFERROR(D93/C93,"na")</f>
        <v>1.5844485654269098</v>
      </c>
      <c r="L93" s="77">
        <f t="shared" ref="L93" si="28">IFERROR((D93-C93)/C93,"na")</f>
        <v>0.58444856542690971</v>
      </c>
    </row>
    <row r="94" spans="2:12" ht="15" thickTop="1" x14ac:dyDescent="0.3"/>
    <row r="95" spans="2:12" x14ac:dyDescent="0.3">
      <c r="C95" s="82"/>
    </row>
    <row r="96" spans="2:12" x14ac:dyDescent="0.3">
      <c r="B96" s="8" t="s">
        <v>172</v>
      </c>
    </row>
    <row r="97" spans="2:12" ht="15" thickBot="1" x14ac:dyDescent="0.35"/>
    <row r="98" spans="2:12" ht="21" thickBot="1" x14ac:dyDescent="0.35">
      <c r="B98" s="79" t="s">
        <v>173</v>
      </c>
      <c r="C98" s="81" t="str">
        <f>IFERROR(C53/C55,"na")</f>
        <v>na</v>
      </c>
      <c r="D98" s="83">
        <f>IFERROR(D53/D55,"NA")</f>
        <v>1.829</v>
      </c>
      <c r="I98" s="76">
        <v>1</v>
      </c>
      <c r="J98" s="77" t="str">
        <f>IFERROR(D98/C98,"na")</f>
        <v>na</v>
      </c>
      <c r="L98" s="77" t="str">
        <f t="shared" ref="L98" si="29">IFERROR((D98-C98)/C98,"na")</f>
        <v>na</v>
      </c>
    </row>
    <row r="99" spans="2:12" ht="15" thickTop="1" x14ac:dyDescent="0.3"/>
  </sheetData>
  <mergeCells count="4">
    <mergeCell ref="D1:D2"/>
    <mergeCell ref="C1:C2"/>
    <mergeCell ref="I2:J2"/>
    <mergeCell ref="A1:B2"/>
  </mergeCells>
  <conditionalFormatting sqref="C44:D44">
    <cfRule type="cellIs" dxfId="9" priority="13" operator="equal">
      <formula>TRUE</formula>
    </cfRule>
    <cfRule type="cellIs" dxfId="8" priority="14" operator="equal">
      <formula>FALSE</formula>
    </cfRule>
  </conditionalFormatting>
  <conditionalFormatting sqref="C41">
    <cfRule type="cellIs" dxfId="7" priority="11" operator="lessThan">
      <formula>0</formula>
    </cfRule>
    <cfRule type="cellIs" dxfId="6" priority="12" operator="greaterThan">
      <formula>0</formula>
    </cfRule>
  </conditionalFormatting>
  <conditionalFormatting sqref="C59">
    <cfRule type="cellIs" dxfId="5" priority="9" operator="lessThan">
      <formula>0</formula>
    </cfRule>
    <cfRule type="cellIs" dxfId="4" priority="10" operator="greaterThan">
      <formula>0</formula>
    </cfRule>
  </conditionalFormatting>
  <conditionalFormatting sqref="D41">
    <cfRule type="cellIs" dxfId="3" priority="7" operator="lessThan">
      <formula>0</formula>
    </cfRule>
    <cfRule type="cellIs" dxfId="2" priority="8" operator="greaterThan">
      <formula>0</formula>
    </cfRule>
  </conditionalFormatting>
  <conditionalFormatting sqref="D59">
    <cfRule type="cellIs" dxfId="1" priority="5" operator="lessThan">
      <formula>0</formula>
    </cfRule>
    <cfRule type="cellIs" dxfId="0" priority="6" operator="greater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12" workbookViewId="0">
      <selection activeCell="B1" sqref="A1:B1048576"/>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Trial Balance Previous Year</vt:lpstr>
      <vt:lpstr>Trial Balance Current year</vt:lpstr>
      <vt:lpstr>Liquidity,Solvency</vt:lpstr>
      <vt:lpstr>Definitions</vt:lpstr>
      <vt:lpstr>Net_Working_Capital___Current_Assets___Current_Liability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Faysal</dc:creator>
  <cp:lastModifiedBy>Faysal</cp:lastModifiedBy>
  <dcterms:created xsi:type="dcterms:W3CDTF">2025-01-24T21:29:10Z</dcterms:created>
  <dcterms:modified xsi:type="dcterms:W3CDTF">2025-02-08T14:51:19Z</dcterms:modified>
</cp:coreProperties>
</file>